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4380" windowWidth="19170" windowHeight="4440" tabRatio="671" activeTab="0"/>
  </bookViews>
  <sheets>
    <sheet name="Données" sheetId="1" r:id="rId1"/>
    <sheet name="Table" sheetId="2" r:id="rId2"/>
    <sheet name="ogives" sheetId="3" r:id="rId3"/>
    <sheet name="Ballistics Table" sheetId="4" r:id="rId4"/>
    <sheet name="Calculations" sheetId="5" r:id="rId5"/>
  </sheets>
  <definedNames>
    <definedName name="_xlnm.Print_Area" localSheetId="1">'Table'!$A$1:$O$30</definedName>
  </definedNames>
  <calcPr fullCalcOnLoad="1"/>
</workbook>
</file>

<file path=xl/comments4.xml><?xml version="1.0" encoding="utf-8"?>
<comments xmlns="http://schemas.openxmlformats.org/spreadsheetml/2006/main">
  <authors>
    <author>David L. King</author>
  </authors>
  <commentList>
    <comment ref="S19" authorId="0">
      <text>
        <r>
          <rPr>
            <b/>
            <sz val="8"/>
            <rFont val="Tahoma"/>
            <family val="0"/>
          </rPr>
          <t>Mover lead offset decreases lead to allow the POI to be behind the POA.  This allows for leading edge hold method when shooting movers.</t>
        </r>
        <r>
          <rPr>
            <sz val="8"/>
            <rFont val="Tahoma"/>
            <family val="0"/>
          </rPr>
          <t xml:space="preserve">
</t>
        </r>
      </text>
    </comment>
    <comment ref="S17" authorId="0">
      <text>
        <r>
          <rPr>
            <b/>
            <sz val="8"/>
            <rFont val="Tahoma"/>
            <family val="0"/>
          </rPr>
          <t>Enter the value of the slope (angle) to the target.  The elevation adjustments for the distances are calculated using this slope value.  
Enter '0' for no-slope.</t>
        </r>
      </text>
    </comment>
    <comment ref="S16" authorId="0">
      <text>
        <r>
          <rPr>
            <b/>
            <sz val="8"/>
            <rFont val="Tahoma"/>
            <family val="0"/>
          </rPr>
          <t>Enter the direction the wind is coming FROM.  Use the clock method, 12 is from straight ahead, 6 is from directly behind.</t>
        </r>
        <r>
          <rPr>
            <sz val="8"/>
            <rFont val="Tahoma"/>
            <family val="0"/>
          </rPr>
          <t xml:space="preserve">
</t>
        </r>
      </text>
    </comment>
    <comment ref="S14" authorId="0">
      <text>
        <r>
          <rPr>
            <b/>
            <sz val="8"/>
            <rFont val="Tahoma"/>
            <family val="0"/>
          </rPr>
          <t>Zero or sight-in range value.  This must be greater than the Start Distance and evenly divisible by the Range Increment.</t>
        </r>
      </text>
    </comment>
    <comment ref="S13" authorId="0">
      <text>
        <r>
          <rPr>
            <b/>
            <sz val="8"/>
            <rFont val="Tahoma"/>
            <family val="0"/>
          </rPr>
          <t>Desired Minute of Angle (MOA) value.  Many riflescopes use MOA values vice inches for 'click' values.</t>
        </r>
      </text>
    </comment>
    <comment ref="S12" authorId="0">
      <text>
        <r>
          <rPr>
            <b/>
            <sz val="8"/>
            <rFont val="Tahoma"/>
            <family val="0"/>
          </rPr>
          <t>Desired MIL value.   Changing this value effects MIL calculations elsewhere on the spreadsheets.</t>
        </r>
      </text>
    </comment>
    <comment ref="S8" authorId="0">
      <text>
        <r>
          <rPr>
            <b/>
            <sz val="8"/>
            <rFont val="Tahoma"/>
            <family val="0"/>
          </rPr>
          <t>Range increment value.  The smaller the value the less overall distance on the Ballistics page.  For auto elevation determination(s) a small value here is recommended.</t>
        </r>
        <r>
          <rPr>
            <sz val="8"/>
            <rFont val="Tahoma"/>
            <family val="0"/>
          </rPr>
          <t xml:space="preserve">
</t>
        </r>
      </text>
    </comment>
    <comment ref="S7" authorId="0">
      <text>
        <r>
          <rPr>
            <b/>
            <sz val="8"/>
            <rFont val="Tahoma"/>
            <family val="0"/>
          </rPr>
          <t>Enter the desired begin distance for the ballistic calculations.  This must be less than or equal to the 'Zero Range' value.</t>
        </r>
      </text>
    </comment>
    <comment ref="S4" authorId="0">
      <text>
        <r>
          <rPr>
            <b/>
            <sz val="8"/>
            <rFont val="Tahoma"/>
            <family val="0"/>
          </rPr>
          <t>Muzzle velocity in FPS</t>
        </r>
      </text>
    </comment>
  </commentList>
</comments>
</file>

<file path=xl/sharedStrings.xml><?xml version="1.0" encoding="utf-8"?>
<sst xmlns="http://schemas.openxmlformats.org/spreadsheetml/2006/main" count="1692" uniqueCount="998">
  <si>
    <t>SU</t>
  </si>
  <si>
    <t>TU</t>
  </si>
  <si>
    <t>T</t>
  </si>
  <si>
    <t>F</t>
  </si>
  <si>
    <t>DROP @ ZERO</t>
  </si>
  <si>
    <t>MOA @ ZERO</t>
  </si>
  <si>
    <t>TV</t>
  </si>
  <si>
    <t>SV</t>
  </si>
  <si>
    <t>RO</t>
  </si>
  <si>
    <t>AF</t>
  </si>
  <si>
    <t>RF</t>
  </si>
  <si>
    <t>Ballistic Data</t>
  </si>
  <si>
    <t>Bullet BC</t>
  </si>
  <si>
    <t>Velocity (fps)</t>
  </si>
  <si>
    <t>Bullet Weight (gr)</t>
  </si>
  <si>
    <t>Start Distance</t>
  </si>
  <si>
    <t>Range Increment</t>
  </si>
  <si>
    <t>Altitude (ft)</t>
  </si>
  <si>
    <t>Temperature (F)</t>
  </si>
  <si>
    <t>Scope Height (inch)</t>
  </si>
  <si>
    <t>Zero Range (yds)</t>
  </si>
  <si>
    <t>yds</t>
  </si>
  <si>
    <t>fps</t>
  </si>
  <si>
    <t>ft/lbs</t>
  </si>
  <si>
    <t>Drop</t>
  </si>
  <si>
    <t>Energy</t>
  </si>
  <si>
    <t>Range</t>
  </si>
  <si>
    <t>Total</t>
  </si>
  <si>
    <t>MOA</t>
  </si>
  <si>
    <t>Wind Speed (mph)</t>
  </si>
  <si>
    <t>mph</t>
  </si>
  <si>
    <t>Inches</t>
  </si>
  <si>
    <t>TOF</t>
  </si>
  <si>
    <t>MIL</t>
  </si>
  <si>
    <t>Inch</t>
  </si>
  <si>
    <t>Mil Value (3.44, 3.6)</t>
  </si>
  <si>
    <t>MOA value (1.0, 1.047)</t>
  </si>
  <si>
    <t>Altering these calculation could cause a serious spreadsheet disaster.</t>
  </si>
  <si>
    <t>Vely</t>
  </si>
  <si>
    <t>secs</t>
  </si>
  <si>
    <t>Mover</t>
  </si>
  <si>
    <t>Wind</t>
  </si>
  <si>
    <t>east</t>
  </si>
  <si>
    <t>north</t>
  </si>
  <si>
    <t>neg east</t>
  </si>
  <si>
    <t>pos east</t>
  </si>
  <si>
    <t>pos north</t>
  </si>
  <si>
    <t>neg north</t>
  </si>
  <si>
    <t xml:space="preserve"> </t>
  </si>
  <si>
    <t>Wind Lookups</t>
  </si>
  <si>
    <t>Clock Lookups</t>
  </si>
  <si>
    <t>Tan</t>
  </si>
  <si>
    <t>Traj.</t>
  </si>
  <si>
    <t>Heading</t>
  </si>
  <si>
    <t>rel</t>
  </si>
  <si>
    <t>wind</t>
  </si>
  <si>
    <t>heading</t>
  </si>
  <si>
    <t>Slope:</t>
  </si>
  <si>
    <t>Distances (TRP) sheet calculations</t>
  </si>
  <si>
    <t>Distances (TRP) KD Compass calculations</t>
  </si>
  <si>
    <t>ComeUp</t>
  </si>
  <si>
    <t>inch</t>
  </si>
  <si>
    <t>Offset</t>
  </si>
  <si>
    <t>m/s</t>
  </si>
  <si>
    <t>FLECHE</t>
  </si>
  <si>
    <r>
      <t>V</t>
    </r>
    <r>
      <rPr>
        <b/>
        <vertAlign val="subscript"/>
        <sz val="14"/>
        <rFont val="Arial"/>
        <family val="2"/>
      </rPr>
      <t xml:space="preserve">0 </t>
    </r>
    <r>
      <rPr>
        <b/>
        <sz val="14"/>
        <rFont val="Arial"/>
        <family val="2"/>
      </rPr>
      <t>=</t>
    </r>
  </si>
  <si>
    <r>
      <t>Vent</t>
    </r>
    <r>
      <rPr>
        <b/>
        <vertAlign val="subscript"/>
        <sz val="14"/>
        <rFont val="Arial"/>
        <family val="2"/>
      </rPr>
      <t xml:space="preserve"> </t>
    </r>
    <r>
      <rPr>
        <b/>
        <sz val="14"/>
        <rFont val="Arial"/>
        <family val="2"/>
      </rPr>
      <t>=</t>
    </r>
  </si>
  <si>
    <t>1 Click =</t>
  </si>
  <si>
    <t>Distance</t>
  </si>
  <si>
    <t>Vitesse m/s</t>
  </si>
  <si>
    <t>Temps (s)</t>
  </si>
  <si>
    <t>DERIVE</t>
  </si>
  <si>
    <t>cm</t>
  </si>
  <si>
    <t>Click</t>
  </si>
  <si>
    <t>DONNEES</t>
  </si>
  <si>
    <t>Distance zérotage lunette :</t>
  </si>
  <si>
    <t>Vitesse initiale :</t>
  </si>
  <si>
    <t xml:space="preserve">Température : </t>
  </si>
  <si>
    <t xml:space="preserve">Altitude : </t>
  </si>
  <si>
    <t xml:space="preserve">Vitesse vent : </t>
  </si>
  <si>
    <t>.243</t>
  </si>
  <si>
    <t xml:space="preserve">Hornady V-MAX 22411      </t>
  </si>
  <si>
    <t xml:space="preserve">Berger MEF               </t>
  </si>
  <si>
    <t xml:space="preserve">SierraHP 1500           </t>
  </si>
  <si>
    <t xml:space="preserve">Berger                   </t>
  </si>
  <si>
    <t xml:space="preserve">Berger ND                </t>
  </si>
  <si>
    <t>.265</t>
  </si>
  <si>
    <t xml:space="preserve">BergerBT                </t>
  </si>
  <si>
    <t xml:space="preserve">BergerSJ                </t>
  </si>
  <si>
    <t xml:space="preserve">Hornady V-Max            </t>
  </si>
  <si>
    <t xml:space="preserve">Hornady V-MAX 22415      </t>
  </si>
  <si>
    <t xml:space="preserve">SierraHPBT MatchK 1505  </t>
  </si>
  <si>
    <t xml:space="preserve">BergerBT MEF            </t>
  </si>
  <si>
    <t xml:space="preserve">Hornady V-MAX 22420      </t>
  </si>
  <si>
    <t xml:space="preserve">HornadyHP 2420          </t>
  </si>
  <si>
    <t xml:space="preserve">SierraHP 1510           </t>
  </si>
  <si>
    <t xml:space="preserve">LapuaHP G490            </t>
  </si>
  <si>
    <t>.308</t>
  </si>
  <si>
    <t xml:space="preserve">Hornady FMJ 2430         </t>
  </si>
  <si>
    <t xml:space="preserve">HornadySPSSPistol 2435 </t>
  </si>
  <si>
    <t xml:space="preserve">SierraSPBTBlitz 1515   </t>
  </si>
  <si>
    <t xml:space="preserve">SierraSPSSPistol 7150  </t>
  </si>
  <si>
    <t xml:space="preserve">LapuaSP E360            </t>
  </si>
  <si>
    <t xml:space="preserve">SierraHPBT 1530         </t>
  </si>
  <si>
    <t>.285</t>
  </si>
  <si>
    <t xml:space="preserve">SierraSP 1520           </t>
  </si>
  <si>
    <t xml:space="preserve">Hornady V-MAX 22440      </t>
  </si>
  <si>
    <t xml:space="preserve">HornadyBTHP 2442        </t>
  </si>
  <si>
    <t xml:space="preserve">HornadySP 2440          </t>
  </si>
  <si>
    <t xml:space="preserve">BergerLD MEF            </t>
  </si>
  <si>
    <t xml:space="preserve">Lapua FMJ E342           </t>
  </si>
  <si>
    <t xml:space="preserve">Lapua Mega E453          </t>
  </si>
  <si>
    <t xml:space="preserve">Lapua Naturalis          </t>
  </si>
  <si>
    <t xml:space="preserve">LapuaHPBTScenar GB493  </t>
  </si>
  <si>
    <t xml:space="preserve">Sierra FMJBT 1535       </t>
  </si>
  <si>
    <t xml:space="preserve">Berger VLD               </t>
  </si>
  <si>
    <t>HornadySST InterLock 24532</t>
  </si>
  <si>
    <t xml:space="preserve">Hornady RN 2455         </t>
  </si>
  <si>
    <t xml:space="preserve">HornadyBTSP 2453       </t>
  </si>
  <si>
    <t xml:space="preserve">HornadySP 2450         </t>
  </si>
  <si>
    <t xml:space="preserve">Lapua MEGA E457         </t>
  </si>
  <si>
    <t xml:space="preserve">SierraSP 1540          </t>
  </si>
  <si>
    <t xml:space="preserve">SierraSPBT 1560        </t>
  </si>
  <si>
    <t xml:space="preserve">SierraSPSemiSp 1550   </t>
  </si>
  <si>
    <t xml:space="preserve">Berger VLD              </t>
  </si>
  <si>
    <t xml:space="preserve">BergerBT               </t>
  </si>
  <si>
    <t xml:space="preserve">BergerLTB              </t>
  </si>
  <si>
    <t xml:space="preserve">Hornady A-MAX 24562     </t>
  </si>
  <si>
    <t xml:space="preserve">LapuaHPBTScenar GB478 </t>
  </si>
  <si>
    <t xml:space="preserve">SierraHPBT MatchK 1570 </t>
  </si>
  <si>
    <t xml:space="preserve">SierraHPBT MK 1570     </t>
  </si>
  <si>
    <t>.264</t>
  </si>
  <si>
    <t xml:space="preserve">Norma FMJ RN 66522       </t>
  </si>
  <si>
    <t xml:space="preserve">Sierra HP 1700           </t>
  </si>
  <si>
    <t xml:space="preserve">Hornady V-MAX 22601      </t>
  </si>
  <si>
    <t xml:space="preserve">Hornady SP 2610         </t>
  </si>
  <si>
    <t xml:space="preserve">Lapua FMJ CES496       </t>
  </si>
  <si>
    <t xml:space="preserve">Lapua FMJS341          </t>
  </si>
  <si>
    <t xml:space="preserve">Norma HP 66520          </t>
  </si>
  <si>
    <t xml:space="preserve">Sierra HP 1710          </t>
  </si>
  <si>
    <t xml:space="preserve">Sierra HPBT MatchK 1715 </t>
  </si>
  <si>
    <t xml:space="preserve">LapuaHPBT GB404        </t>
  </si>
  <si>
    <t xml:space="preserve">Lapua Scenar GB464      </t>
  </si>
  <si>
    <t xml:space="preserve">Sierra HPBT MatchK 1725 </t>
  </si>
  <si>
    <t xml:space="preserve">Sierra SP 1720          </t>
  </si>
  <si>
    <t xml:space="preserve">Lapua Scenar GB489      </t>
  </si>
  <si>
    <t xml:space="preserve">Hornady SP 2620         </t>
  </si>
  <si>
    <t>Hornady SST InterLock 26202</t>
  </si>
  <si>
    <t>Norma VLD Diamond  66508</t>
  </si>
  <si>
    <t xml:space="preserve">Lapua Scenar GB458      </t>
  </si>
  <si>
    <t>Norma FMJ Elektron 66516</t>
  </si>
  <si>
    <t xml:space="preserve">Norma HP 66517          </t>
  </si>
  <si>
    <t xml:space="preserve">Norma PlastSpitz 66512  </t>
  </si>
  <si>
    <t xml:space="preserve">Norma SemiSP 66531      </t>
  </si>
  <si>
    <t xml:space="preserve">Norma VULKAN 66533      </t>
  </si>
  <si>
    <t xml:space="preserve">Hornady A-MAX 26332     </t>
  </si>
  <si>
    <t xml:space="preserve">Hornady SP 2630         </t>
  </si>
  <si>
    <t xml:space="preserve">Hornady SST 26302       </t>
  </si>
  <si>
    <t xml:space="preserve">Lapua NaturalisN507    </t>
  </si>
  <si>
    <t xml:space="preserve">Sierra HPBT MatchK 1740 </t>
  </si>
  <si>
    <t xml:space="preserve">Sierra HPBT MK 1740     </t>
  </si>
  <si>
    <t xml:space="preserve">Sierra SPBT 1730        </t>
  </si>
  <si>
    <t xml:space="preserve">Sierra HPBT MatchK 1742 </t>
  </si>
  <si>
    <t xml:space="preserve">Lapua FMJBTB343       </t>
  </si>
  <si>
    <t xml:space="preserve">Lapua MEGA E471         </t>
  </si>
  <si>
    <t xml:space="preserve">Lapua SPFN E390         </t>
  </si>
  <si>
    <t>Sierra HPBTLR MatchK 9570</t>
  </si>
  <si>
    <t xml:space="preserve">Norma ORYX 66524        </t>
  </si>
  <si>
    <t xml:space="preserve">Norma SP Alaska 66532   </t>
  </si>
  <si>
    <t xml:space="preserve">Norma VULKAN 66535      </t>
  </si>
  <si>
    <t xml:space="preserve">Hornady RN 2640         </t>
  </si>
  <si>
    <t xml:space="preserve">Sierra SPSemiSp 1750   </t>
  </si>
  <si>
    <t>.284</t>
  </si>
  <si>
    <t xml:space="preserve">Hornady HP 2800         </t>
  </si>
  <si>
    <t xml:space="preserve">Sierra HP 1895          </t>
  </si>
  <si>
    <t xml:space="preserve">Norma SP Spitz          </t>
  </si>
  <si>
    <t>0.284</t>
  </si>
  <si>
    <t xml:space="preserve">Hornady V-Max 22810     </t>
  </si>
  <si>
    <t xml:space="preserve">Hornady HP 2815         </t>
  </si>
  <si>
    <t xml:space="preserve">Hornady SP 2810         </t>
  </si>
  <si>
    <t>Hornady SPSSPistol 2811</t>
  </si>
  <si>
    <t xml:space="preserve">.284   </t>
  </si>
  <si>
    <t>PrviPartizan HP B-401</t>
  </si>
  <si>
    <t xml:space="preserve">Sierra SP 1900          </t>
  </si>
  <si>
    <t xml:space="preserve">Sierra HPBT MatchK 1903 </t>
  </si>
  <si>
    <t xml:space="preserve">Sierra SPSSPistol 7250 </t>
  </si>
  <si>
    <t xml:space="preserve">Hornady BTSP 2825       </t>
  </si>
  <si>
    <t xml:space="preserve">Hornady InterBond 28209 </t>
  </si>
  <si>
    <t xml:space="preserve">Hornady FP 2822         </t>
  </si>
  <si>
    <t xml:space="preserve">Hornady SP 2820         </t>
  </si>
  <si>
    <t>Hornady SST InterLock 28202</t>
  </si>
  <si>
    <t>PrviPartizan SP  B-051</t>
  </si>
  <si>
    <t>PrviPartizan PSP BT  B-400</t>
  </si>
  <si>
    <t xml:space="preserve">Sierra SP 1910          </t>
  </si>
  <si>
    <t xml:space="preserve">Sierra SPBT 1905        </t>
  </si>
  <si>
    <t>PrviPartizan SP  B-123</t>
  </si>
  <si>
    <t xml:space="preserve">Norma FMJSemiP 67003   </t>
  </si>
  <si>
    <t xml:space="preserve">Norma SP 67002          </t>
  </si>
  <si>
    <t>PrviPartizan HP BT  B-405</t>
  </si>
  <si>
    <t xml:space="preserve">Sierra HPBT MatchK 1915 </t>
  </si>
  <si>
    <t xml:space="preserve">Sierra HPBT MK 1915     </t>
  </si>
  <si>
    <t xml:space="preserve">Sierra SPBT 1913        </t>
  </si>
  <si>
    <t xml:space="preserve">Hornady InterBond 28309 </t>
  </si>
  <si>
    <t xml:space="preserve">Hornady RN 2835         </t>
  </si>
  <si>
    <t xml:space="preserve">Hornady SP 2830         </t>
  </si>
  <si>
    <t>Hornady SST InterLock 28302</t>
  </si>
  <si>
    <t xml:space="preserve">Norma SP 67033          </t>
  </si>
  <si>
    <t xml:space="preserve">Norma ORYX 67004        </t>
  </si>
  <si>
    <t>PrviPartizan Grom    B-105</t>
  </si>
  <si>
    <t>Federal SP Trophy Bond.</t>
  </si>
  <si>
    <t xml:space="preserve">Lapua NaturalisN510    </t>
  </si>
  <si>
    <t>PrviPartizan PSP BT  B-403</t>
  </si>
  <si>
    <t xml:space="preserve">Sierra HPBT 1925        </t>
  </si>
  <si>
    <t xml:space="preserve">Sierra SPBT 1920        </t>
  </si>
  <si>
    <t xml:space="preserve">Hornady A-MAX 28402     </t>
  </si>
  <si>
    <t xml:space="preserve">Hornady BTSP 2845       </t>
  </si>
  <si>
    <t>Hornady SST InterLock 28452</t>
  </si>
  <si>
    <t xml:space="preserve">Sierra HPBT MatchK 1930 </t>
  </si>
  <si>
    <t xml:space="preserve">Sierra HPBT MK 1930     </t>
  </si>
  <si>
    <t xml:space="preserve">Lapua MEGA E426         </t>
  </si>
  <si>
    <t xml:space="preserve">Lapua LockBase B442     </t>
  </si>
  <si>
    <t xml:space="preserve">Norma ORYX 67001        </t>
  </si>
  <si>
    <t xml:space="preserve">Norma PPC VULKAN 67006  </t>
  </si>
  <si>
    <t xml:space="preserve">Norma VULKAN 67006      </t>
  </si>
  <si>
    <t xml:space="preserve">Sierra SPRN 1950        </t>
  </si>
  <si>
    <t xml:space="preserve">Lapua SP E295           </t>
  </si>
  <si>
    <t>PrviPartizan FMJ BT  B-141</t>
  </si>
  <si>
    <t>PrviPartizan SP  B-067</t>
  </si>
  <si>
    <t>PrviPartizan PSP BT  B-404</t>
  </si>
  <si>
    <t>PrviPartizan FMJ BT  B-127</t>
  </si>
  <si>
    <t>PrviPartizan SP  B-115</t>
  </si>
  <si>
    <t xml:space="preserve">Hornady RN 2855         </t>
  </si>
  <si>
    <t xml:space="preserve">Hornady SP 2850         </t>
  </si>
  <si>
    <t>Sierra HPBT Matchking 1975</t>
  </si>
  <si>
    <t xml:space="preserve">Sierra SPBT 1940        </t>
  </si>
  <si>
    <t xml:space="preserve">Lapua HPL403            </t>
  </si>
  <si>
    <t>.309</t>
  </si>
  <si>
    <t xml:space="preserve">Lapua FMJ-RN R429        </t>
  </si>
  <si>
    <t xml:space="preserve">Sierra FMJ RN 8005       </t>
  </si>
  <si>
    <t xml:space="preserve">Hornady XTP/HP 31000     </t>
  </si>
  <si>
    <t xml:space="preserve">Lapua FMJ-RN R305        </t>
  </si>
  <si>
    <t xml:space="preserve">Hornady SJ 3005         </t>
  </si>
  <si>
    <t xml:space="preserve">Lapua HP G477 CE        </t>
  </si>
  <si>
    <t xml:space="preserve">Lapua HP G450           </t>
  </si>
  <si>
    <t xml:space="preserve">Berger                  </t>
  </si>
  <si>
    <t xml:space="preserve">HornadyFMJ 3017        </t>
  </si>
  <si>
    <t>.3075</t>
  </si>
  <si>
    <t xml:space="preserve">Hornady RN 3015         </t>
  </si>
  <si>
    <t xml:space="preserve">Hornady V-MAX 23010     </t>
  </si>
  <si>
    <t xml:space="preserve">Hornady SP 3010         </t>
  </si>
  <si>
    <t xml:space="preserve">Norma FMJ RRN 67610     </t>
  </si>
  <si>
    <t>0.308</t>
  </si>
  <si>
    <t xml:space="preserve">Norma SPRN 67621        </t>
  </si>
  <si>
    <t xml:space="preserve">Sierra FMJ RN 2105      </t>
  </si>
  <si>
    <t xml:space="preserve">Sierra HP 2110          </t>
  </si>
  <si>
    <t xml:space="preserve">Sierra SPRN 2100        </t>
  </si>
  <si>
    <t xml:space="preserve">Lapua FMJS374          </t>
  </si>
  <si>
    <t xml:space="preserve">Lapua FMJS495 CE       </t>
  </si>
  <si>
    <t xml:space="preserve">.308   </t>
  </si>
  <si>
    <t>PrviPartizan FMJ   B-460</t>
  </si>
  <si>
    <t xml:space="preserve">Lapua MEGA E468         </t>
  </si>
  <si>
    <t xml:space="preserve">Lapua SP E373           </t>
  </si>
  <si>
    <t xml:space="preserve">Sierra HPFN 30-30 2020  </t>
  </si>
  <si>
    <t xml:space="preserve">Sierra SP 2120          </t>
  </si>
  <si>
    <t xml:space="preserve">Hornady SP 3020         </t>
  </si>
  <si>
    <t>HornadySPSSPistol 3021</t>
  </si>
  <si>
    <t xml:space="preserve">Lapua HP G402           </t>
  </si>
  <si>
    <t xml:space="preserve">Norma SP 67623          </t>
  </si>
  <si>
    <t xml:space="preserve">Sierra SPSSPistol 7350 </t>
  </si>
  <si>
    <t>PrviPartizan FMJ  B-007</t>
  </si>
  <si>
    <t>PrviPartizan FMJBT B-009</t>
  </si>
  <si>
    <t xml:space="preserve">Lapua FMJBTB334       </t>
  </si>
  <si>
    <t xml:space="preserve">Norma FMJSpitz 67651   </t>
  </si>
  <si>
    <t xml:space="preserve">Hornady InterBond 30309 </t>
  </si>
  <si>
    <t xml:space="preserve">Hornady RN 3035         </t>
  </si>
  <si>
    <t xml:space="preserve">Hornady BTSP 3033       </t>
  </si>
  <si>
    <t xml:space="preserve">Hornady FMJ-BT 3037     </t>
  </si>
  <si>
    <t xml:space="preserve">Hornady SP 3031         </t>
  </si>
  <si>
    <t>Hornady SST InterLock 30302</t>
  </si>
  <si>
    <t xml:space="preserve">Lapua MEGA E469         </t>
  </si>
  <si>
    <t xml:space="preserve">Lapua LockBaseB466     </t>
  </si>
  <si>
    <t xml:space="preserve">Norma SemiSP 67624      </t>
  </si>
  <si>
    <t xml:space="preserve">Norma SPFN 67630        </t>
  </si>
  <si>
    <t xml:space="preserve">Sierra FMJBT 2115      </t>
  </si>
  <si>
    <t xml:space="preserve">Sierra HPBT MatchK 2190 </t>
  </si>
  <si>
    <t xml:space="preserve">Sierra SP 2130          </t>
  </si>
  <si>
    <t xml:space="preserve">Sierra SPBT 2125        </t>
  </si>
  <si>
    <t xml:space="preserve">Sierra SPFN 30-30 2000  </t>
  </si>
  <si>
    <t xml:space="preserve">Sierra SPRN 2135        </t>
  </si>
  <si>
    <t xml:space="preserve">Berger LTB              </t>
  </si>
  <si>
    <t xml:space="preserve">Hornady A-MAX 30312     </t>
  </si>
  <si>
    <t xml:space="preserve">Lapua Scenar GB491      </t>
  </si>
  <si>
    <t>Sierra HPBT Palma MK 2155</t>
  </si>
  <si>
    <t>Federal SP  TrophyBond.</t>
  </si>
  <si>
    <t xml:space="preserve">Hornady InterBond 30459 </t>
  </si>
  <si>
    <t xml:space="preserve">Hornady BTSP 3045       </t>
  </si>
  <si>
    <t xml:space="preserve">Hornady SP 3040         </t>
  </si>
  <si>
    <t>Hornady SST InterLock 30452</t>
  </si>
  <si>
    <t xml:space="preserve">Sierra HPBT 2140        </t>
  </si>
  <si>
    <t xml:space="preserve">Sierra SPBT 2145        </t>
  </si>
  <si>
    <t xml:space="preserve">Lapua Scenar GB422      </t>
  </si>
  <si>
    <t xml:space="preserve">BergerL TB              </t>
  </si>
  <si>
    <t xml:space="preserve">Hornady A-MAX 30502     </t>
  </si>
  <si>
    <t>Hornady BTHPNatl M 30501</t>
  </si>
  <si>
    <t xml:space="preserve">Norma Diamond 67635     </t>
  </si>
  <si>
    <t xml:space="preserve">Sierra HPBT MatchK 2200 </t>
  </si>
  <si>
    <t xml:space="preserve">Sierra HPBT MK 2200     </t>
  </si>
  <si>
    <t xml:space="preserve">Hornady FP 3060         </t>
  </si>
  <si>
    <t xml:space="preserve">Lapua FMJBT D46         </t>
  </si>
  <si>
    <t xml:space="preserve">Lapua FMJBT D47         </t>
  </si>
  <si>
    <t xml:space="preserve">Lapua LockBaseB476     </t>
  </si>
  <si>
    <t xml:space="preserve">Norma SPFN 67631        </t>
  </si>
  <si>
    <t>PrviPartizan FSP    B-200</t>
  </si>
  <si>
    <t xml:space="preserve">Sierra SPFN 30-30 2010  </t>
  </si>
  <si>
    <t>PrviPartizan FMJBT B-345</t>
  </si>
  <si>
    <t>PrviPartizan SP  B-428</t>
  </si>
  <si>
    <t>PrviPartizan FMJBT B-366</t>
  </si>
  <si>
    <t xml:space="preserve">Sierra HPBT MatchK 2275 </t>
  </si>
  <si>
    <t xml:space="preserve">Hornady A-MAX 30712     </t>
  </si>
  <si>
    <t>Hornady BTHP Match 30631</t>
  </si>
  <si>
    <t xml:space="preserve">Hornady InterBond 30709 </t>
  </si>
  <si>
    <t xml:space="preserve">Hornady RN 3075         </t>
  </si>
  <si>
    <t xml:space="preserve">Hornady BTSP 3072       </t>
  </si>
  <si>
    <t xml:space="preserve">Hornady SP 3070         </t>
  </si>
  <si>
    <t>Hornady SST InterLock 30702</t>
  </si>
  <si>
    <t xml:space="preserve">Lapua NaturalisN505    </t>
  </si>
  <si>
    <t xml:space="preserve">Norma ORYX 67638        </t>
  </si>
  <si>
    <t xml:space="preserve">Norma PlastSpitz 67628  </t>
  </si>
  <si>
    <t xml:space="preserve">Norma VULKAN 67653      </t>
  </si>
  <si>
    <t xml:space="preserve">Norma SemiSP 67625      </t>
  </si>
  <si>
    <t xml:space="preserve">Norma Silverbl 67628    </t>
  </si>
  <si>
    <t xml:space="preserve">Norma SP ALASKA 67648   </t>
  </si>
  <si>
    <t xml:space="preserve">Sierra HP MatchK 2220   </t>
  </si>
  <si>
    <t xml:space="preserve">Sierra SP 2150          </t>
  </si>
  <si>
    <t xml:space="preserve">Sierra SPBT 2160        </t>
  </si>
  <si>
    <t>180.0</t>
  </si>
  <si>
    <t xml:space="preserve">Sierra SPRN 2170        </t>
  </si>
  <si>
    <t xml:space="preserve">Lapua MEGA E415         </t>
  </si>
  <si>
    <t xml:space="preserve">Lapua Mira EB423        </t>
  </si>
  <si>
    <t xml:space="preserve">Lapua FOREX EX481       </t>
  </si>
  <si>
    <t xml:space="preserve">Lapua Scenar GB432      </t>
  </si>
  <si>
    <t xml:space="preserve">Hornady BTSP 3085       </t>
  </si>
  <si>
    <t xml:space="preserve">Sierra HP MatchK 2210   </t>
  </si>
  <si>
    <t xml:space="preserve">Lapua MEGA E401         </t>
  </si>
  <si>
    <t xml:space="preserve">Lapua NaturalisN513    </t>
  </si>
  <si>
    <t xml:space="preserve">Norma ORYX 67639        </t>
  </si>
  <si>
    <t xml:space="preserve">Norma VULKAN 67654      </t>
  </si>
  <si>
    <t xml:space="preserve">Sierra HP MatchK 2230   </t>
  </si>
  <si>
    <t xml:space="preserve">Sierra SPBT 2165        </t>
  </si>
  <si>
    <t xml:space="preserve">Sierra HP MatchK 9240   </t>
  </si>
  <si>
    <t xml:space="preserve">Hornady RN 3090         </t>
  </si>
  <si>
    <t xml:space="preserve">Sierra HP MatchK 2240   </t>
  </si>
  <si>
    <t xml:space="preserve">Sierra SPRN 2180        </t>
  </si>
  <si>
    <t xml:space="preserve">Sierra MK               </t>
  </si>
  <si>
    <t>Sierra HPBTLR MatchK 9245</t>
  </si>
  <si>
    <t xml:space="preserve">.243 - 55gr - SierraBlitzking 1502    </t>
  </si>
  <si>
    <t xml:space="preserve">.243 - 58gr - Hornady V-MAX 22411      </t>
  </si>
  <si>
    <t xml:space="preserve">.243 - 60gr - Berger MEF               </t>
  </si>
  <si>
    <t>Ogive 0.243 - 80gr - Berger                   CB = 0,308</t>
  </si>
  <si>
    <t>Ogive 0.243 - 80gr - Berger MEF               CB = 0,273</t>
  </si>
  <si>
    <t>Ogive 0.243 - 80gr - Hornady FMJ 2430         CB = 0,261</t>
  </si>
  <si>
    <t>Ogive 0.243 - 80gr - Hornady SPSSPistol 2435 CB = 0,283</t>
  </si>
  <si>
    <t>Ogive 0.243 - 80gr - SierraSPBTBlitz 1515   CB = 0,313</t>
  </si>
  <si>
    <t>Ogive 0.243 - 80gr - Sierra SPSSPistol 7150  CB = 0,283</t>
  </si>
  <si>
    <t>Ogive 0.243 - 85gr - Lapua SP E360            CB = 0,295</t>
  </si>
  <si>
    <t>Ogive 0.243 - 85gr - Sierra HPBT 1530         CB = 0,285</t>
  </si>
  <si>
    <t>Ogive 0.243 - 85gr - Sierra SP 1520           CB = 0,31</t>
  </si>
  <si>
    <t>Ogive 0.243 - 87gr - Hornady V-MAX 22440      CB = 0,4</t>
  </si>
  <si>
    <t>Ogive 0.243 - 87gr - Hornady BTHP 2442        CB = 0,376</t>
  </si>
  <si>
    <t>Ogive 0.243 - 87gr - Hornady SP 2440          CB = 0,327</t>
  </si>
  <si>
    <t>Ogive 0.243 - 88gr - Berger LD MEF            CB = 0,335</t>
  </si>
  <si>
    <t>Ogive 0.243 - 90gr - Berger BT                CB = 0,403</t>
  </si>
  <si>
    <t>Ogive 0.243 - 90gr - Berger BT MEF            CB = 0,334</t>
  </si>
  <si>
    <t>Ogive 0.243 - 90gr - Lapua FMJ E342           CB = 0,385</t>
  </si>
  <si>
    <t>Ogive 0.243 - 90gr - Lapua Mega E453          CB = 0,257</t>
  </si>
  <si>
    <t>Ogive 0.243 - 90gr - Lapua Naturalis          CB = 0,29</t>
  </si>
  <si>
    <t>Ogive 0.243 - 90gr - Lapua HPBT Scenar GB493  CB = 0,42</t>
  </si>
  <si>
    <t>Ogive 0.243 - 90gr - Sierra FMJBT 1535       CB = 0,38</t>
  </si>
  <si>
    <t>Ogive 0.243 - 95gr - Berger VLD               CB = 0,515</t>
  </si>
  <si>
    <t>Ogive 0.243 - 95gr - Hornady SST InterLock 24532CB = 0,355</t>
  </si>
  <si>
    <t>Ogive 0.243 - 100gr - Hornady RN 2455         CB = 0,23</t>
  </si>
  <si>
    <t>Ogive 0.243 - 100gr - Hornady BTSP 2453       CB = 0,405</t>
  </si>
  <si>
    <t>Ogive 0.243 - 100gr - Hornady SP 2450         CB = 0,381</t>
  </si>
  <si>
    <t>Ogive 0.243 - 100gr - Lapua MEGA E457         CB = 0,287</t>
  </si>
  <si>
    <t>Ogive 0.243 - 100gr - Sierra SP 1540          CB = 0,367</t>
  </si>
  <si>
    <t>Ogive 0.243 - 100gr - Sierra SPBT 1560        CB = 0,423</t>
  </si>
  <si>
    <t>Ogive 0.243 - 100gr - Sierra SP SemiSp 1550   CB = 0,27</t>
  </si>
  <si>
    <t>Ogive 0.243 - 105gr - Berger VLD              CB = 0,555</t>
  </si>
  <si>
    <t>Ogive 0.243 - 105gr - Berger BT               CB = 0,424</t>
  </si>
  <si>
    <t>Ogive 0.243 - 105gr - Berger LTB              CB = 0,432</t>
  </si>
  <si>
    <t>Ogive 0.243 - 105gr - Hornady A-MAX 24562     CB = 0,5</t>
  </si>
  <si>
    <t>Ogive 0.243 - 105gr - Lapua HPBT Scenar GB478 CB = 0,53</t>
  </si>
  <si>
    <t>Ogive 0.243 - 107gr - Sierra HPBT MatchK 1570 CB = 0,518</t>
  </si>
  <si>
    <t>Ogive 0.243 - 107gr - Sierra HPBT MK 1570     CB = 0,511</t>
  </si>
  <si>
    <t>Ogive 0.243 - 115gr - Berger VLD              CB = 0,586</t>
  </si>
  <si>
    <t>Ogive 0.264 - 80gr - Norma FMJ RN 66522       CB = 0,16</t>
  </si>
  <si>
    <t>Ogive 0.264 - 85gr - Sierra HP 1700           CB = 0,221</t>
  </si>
  <si>
    <t>Ogive 0.264 - 95gr - Hornady V-MAX 22601      CB = 0,365</t>
  </si>
  <si>
    <t>Ogive 0.264 - 100gr - Hornady SP 2610         CB = 0,358</t>
  </si>
  <si>
    <t>Ogive 0.264 - 100gr - Lapua FMJ CES496       CB = 0,25</t>
  </si>
  <si>
    <t>Ogive 0.264 - 100gr - Lapua FMJS341          CB = 0,25</t>
  </si>
  <si>
    <t>Ogive 0.264 - 100gr - Norma HP 66520          CB = 0,32</t>
  </si>
  <si>
    <t>Ogive 0.264 - 100gr - Sierra HP 1710          CB = 0,255</t>
  </si>
  <si>
    <t>Ogive 0.264 - 107gr - Sierra HPBT MatchK 1715 CB = 0,423</t>
  </si>
  <si>
    <t>Ogive 0.264 - 108gr - LapuaHPBT GB404        CB = 0,347</t>
  </si>
  <si>
    <t>Ogive 0.264 - 108gr - Lapua Scenar GB464      CB = 0,478</t>
  </si>
  <si>
    <t>Ogive 0.264 - 120gr - Sierra HPBT MatchK 1725 CB = 0,414</t>
  </si>
  <si>
    <t>Ogive 0.264 - 120gr - Sierra SP 1720          CB = 0,35</t>
  </si>
  <si>
    <t>Ogive 0.264 - 123gr - Lapua Scenar GB489      CB = 0,547</t>
  </si>
  <si>
    <t>Ogive 0.264 - 129gr - Hornady SP 2620         CB = 0,445</t>
  </si>
  <si>
    <t>Ogive 0.264 - 129gr - Hornady SST InterLock 26202CB = 0,485</t>
  </si>
  <si>
    <t>Ogive 0.264 - 130gr - Norma VLD Diamond  66508CB = 0,61</t>
  </si>
  <si>
    <t>Ogive 0.264 - 139gr - Lapua Scenar GB458      CB = 0,615</t>
  </si>
  <si>
    <t>Ogive 0.264 - 139gr - Norma FMJ Elektron 66516CB = 0,58</t>
  </si>
  <si>
    <t>Ogive 0.264 - 139gr - Norma HP 66517          CB = 0,51</t>
  </si>
  <si>
    <t>Ogive 0.264 - 139gr - Norma PlastSpitz 66512  CB = 0,39</t>
  </si>
  <si>
    <t>Ogive 0.264 - 139gr - Norma SemiSP 66531      CB = 0,41</t>
  </si>
  <si>
    <t>Ogive 0.264 - 139gr - Norma VULKAN 66533      CB = 0,32</t>
  </si>
  <si>
    <t>Ogive 0.264 - 140gr - Berger VLD              CB = 0,622</t>
  </si>
  <si>
    <t>Ogive 0.264 - 140gr - Hornady A-MAX 26332     CB = 0,55</t>
  </si>
  <si>
    <t>Ogive 0.264 - 140gr - Hornady SP 2630         CB = 0,465</t>
  </si>
  <si>
    <t>Ogive 0.264 - 140gr - Hornady SST 26302       CB = 0,52</t>
  </si>
  <si>
    <t>Ogive 0.264 - 140gr - Lapua NaturalisN507    CB = 0,324</t>
  </si>
  <si>
    <t>Ogive 0.264 - 140gr - Sierra HPBT MatchK 1740 CB = 0,526</t>
  </si>
  <si>
    <t>Ogive 0.264 - 140gr - Sierra HPBT MK 1740     CB = 0,518</t>
  </si>
  <si>
    <t>Ogive 0.264 - 140gr - Sierra SPBT 1730        CB = 0,486</t>
  </si>
  <si>
    <t>Ogive 0.264 - 142gr - Sierra HPBT MatchK 1742 CB = 0,584</t>
  </si>
  <si>
    <t>.265 - 144gr - Lapua FMJ BTB343       CB = 0,625</t>
  </si>
  <si>
    <t>Ogive 0.264 - 155gr - Lapua MEGA E471         CB = 0,377</t>
  </si>
  <si>
    <t>Ogive 0.264 - 155gr - Lapua SPFN E390         CB = 0,371</t>
  </si>
  <si>
    <t>Ogive 0.264 - 155gr - Sierra HPBT LR MatchK 9570CB = 0,56</t>
  </si>
  <si>
    <t>Ogive 0.264 - 156gr - Norma ORYX 66524        CB = 0,36</t>
  </si>
  <si>
    <t>Ogive 0.264 - 156gr - Norma SP Alaska 66532   CB = 0,27</t>
  </si>
  <si>
    <t>Ogive 0.264 - 156gr - Norma VULKAN 66535      CB = 0,35</t>
  </si>
  <si>
    <t>Ogive 0.264 - 160gr - Hornady RN 2640         CB = 0,283</t>
  </si>
  <si>
    <t>Ogive 0.264 - 160gr - Sierra SP SemiSp 1750   CB = 0,347</t>
  </si>
  <si>
    <t>Ogive 0.284 - 100gr - Hornady HP 2800         CB = 0,279</t>
  </si>
  <si>
    <t>Ogive 0.284 - 100gr - Sierra HP 1895          CB = 0,205</t>
  </si>
  <si>
    <t>Ogive 0.284 - 110gr - Norma SP Spitz          CB = 0,36</t>
  </si>
  <si>
    <t>Ogive 0.284 - 120gr - Hornady V-Max 22810     CB = 0,365</t>
  </si>
  <si>
    <t>Ogive 0.284 - 120gr - Hornady HP 2815         CB = 0,334</t>
  </si>
  <si>
    <t>Ogive 0.284 - 120gr - Hornady SP 2810         CB = 0,35</t>
  </si>
  <si>
    <t>Ogive 0.284 - 120gr - Hornady SPSSPistol 2811CB = 0,365</t>
  </si>
  <si>
    <t>Ogive 0.284    - 120gr - PrviPartizan HP B-401CB = 0,325</t>
  </si>
  <si>
    <t>Ogive 0.284 - 120gr - Sierra SP 1900          CB = 0,322</t>
  </si>
  <si>
    <t>Ogive 0.284 - 130gr - Sierra HPBT MatchK 1903 CB = 0,388</t>
  </si>
  <si>
    <t>Ogive 0.284 - 130gr - Sierra SP SSPistol 7250 CB = 0,321</t>
  </si>
  <si>
    <t>Ogive 0.284 - 139gr - Hornady BTSP 2825       CB = 0,453</t>
  </si>
  <si>
    <t>Ogive 0.284 - 139gr - Hornady InterBond 28209 CB = 0,486</t>
  </si>
  <si>
    <t>Ogive 0.284 - 139gr - Hornady FP 2822         CB = 0,196</t>
  </si>
  <si>
    <t>Ogive 0.284 - 139gr - Hornady SP 2820         CB = 0,392</t>
  </si>
  <si>
    <t>Ogive 0.284 - 139gr - Hornady SST InterLock 28202CB = 0,486</t>
  </si>
  <si>
    <t>Ogive 0.284 - 139gr - PrviPartizan SP  B-051CB = 0,36</t>
  </si>
  <si>
    <t>Ogive 0.284 - 140gr - PrviPartizan PSP BT  B-400CB = 0,44</t>
  </si>
  <si>
    <t>Ogive 0.284 - 140gr - Sierra SP 1910          CB = 0,37</t>
  </si>
  <si>
    <t>Ogive 0.284 - 140gr - Sierra SPBT 1905        CB = 0,409</t>
  </si>
  <si>
    <t>Ogive 0.284 - 145gr - PrviPartizan SP  B-123CB = 0,39</t>
  </si>
  <si>
    <t>Ogive 0.284 - 150gr - Norma FMJ SemiP 67003   CB = 0,44</t>
  </si>
  <si>
    <t>Ogive 0.284 - 150gr - Norma SP 67002          CB = 0,43</t>
  </si>
  <si>
    <t>Ogive 0.284 - 150gr - PrviPartizan HP BT  B-405CB = 0,4</t>
  </si>
  <si>
    <t>Ogive 0.284 - 150gr - Sierra HPBT MatchK 1915 CB = 0,422</t>
  </si>
  <si>
    <t>Ogive 0.284 - 150gr - Sierra HPBT MK 1915     CB = 0,427</t>
  </si>
  <si>
    <t>Ogive 0.284 - 150gr - Sierra SPBT 1913        CB = 0,428</t>
  </si>
  <si>
    <t>Ogive 0.284 - 154gr - Hornady InterBond 28309 CB = 0,525</t>
  </si>
  <si>
    <t>Ogive 0.284 - 154gr - Hornady RN 2835         CB = 0,279</t>
  </si>
  <si>
    <t>Ogive 0.284 - 154gr - Hornady SP 2830         CB = 0,433</t>
  </si>
  <si>
    <t>Ogive 0.284 - 154gr - Hornady SST InterLock 28302CB = 0,525</t>
  </si>
  <si>
    <t>Ogive 0.284 - 154gr - Norma SP 67033          CB = 0,42</t>
  </si>
  <si>
    <t>Ogive 0.284 - 156gr - Norma ORYX 67004        CB = 0,34</t>
  </si>
  <si>
    <t>Ogive 0.284 - 158gr - PrviPartizan Grom    B-105CB = 0,4</t>
  </si>
  <si>
    <t>Ogive 0.284 - 160gr - Federal SP Trophy Bond.CB = 0,328</t>
  </si>
  <si>
    <t>Ogive 0.284 - 160gr - Lapua Naturalis N510    CB = 0,276</t>
  </si>
  <si>
    <t>Ogive 0.284 - 160gr - PrviPartizan PSP BT  B-403CB = 0,5</t>
  </si>
  <si>
    <t>Ogive 0.284 - 160gr - Sierra HPBT 1925        CB = 0,377</t>
  </si>
  <si>
    <t>Ogive 0.284 - 160gr - Sierra SPBT 1920        CB = 0,447</t>
  </si>
  <si>
    <t>Ogive 0.284 - 162gr - Hornady A-MAX 28402     CB = 0,625</t>
  </si>
  <si>
    <t>Ogive 0.284 - 162gr - Hornady BTSP 2845       CB = 0,514</t>
  </si>
  <si>
    <t>Ogive 0.284 - 162gr - Hornady SST InterLock 28452CB = 0,55</t>
  </si>
  <si>
    <t>Ogive 0.284 - 168gr - Berger VLD              CB = 0,63</t>
  </si>
  <si>
    <t>Ogive 0.284 - 168gr - Sierra HPBT MatchK 1930 CB = 0,48</t>
  </si>
  <si>
    <t>Ogive 0.284 - 168gr - Sierra HPBT MK 1930     CB = 0,48</t>
  </si>
  <si>
    <t>Ogive 0.284 - 170gr - Lapua MEGA E426         CB = 0,322</t>
  </si>
  <si>
    <t>Ogive 0.284 - 170gr - Lapua LockBase B442     CB = 0,462</t>
  </si>
  <si>
    <t>Ogive 0.284 - 170gr - Norma ORYX 67001        CB = 0,37</t>
  </si>
  <si>
    <t>Ogive 0.284 - 170gr - Norma PPC VULKAN 67006  CB = 0,35</t>
  </si>
  <si>
    <t>Ogive 0.284 - 170gr - Norma VULKAN 67006      CB = 0,35</t>
  </si>
  <si>
    <t>Ogive 0.284 - 170gr - Sierra SPRN 1950        CB = 0,275</t>
  </si>
  <si>
    <t>Ogive 0.284 - 173gr - Lapua SP E295           CB = 0,313</t>
  </si>
  <si>
    <t>Ogive 0.284 - 173gr - PrviPartizan FMJ BT  B-141CB = 0,425</t>
  </si>
  <si>
    <t>Ogive 0.284 - 173gr - PrviPartizan SP  B-067CB = 0,44</t>
  </si>
  <si>
    <t>Ogive 0.284 - 174gr - PrviPartizan PSP BT  B-404CB = 0,54</t>
  </si>
  <si>
    <t>Ogive 0.284 - 174gr - PrviPartizan FMJ BT  B-127CB = 0,48</t>
  </si>
  <si>
    <t>Ogive 0.284 - 174gr - PrviPartizan SP  B-115CB = 0,465</t>
  </si>
  <si>
    <t>Ogive 0.284 - 175gr - Federal SP Trophy Bond.CB = 0,465</t>
  </si>
  <si>
    <t>Ogive 0.284 - 175gr - Hornady RN 2855         CB = 0,285</t>
  </si>
  <si>
    <t>Ogive 0.284 - 175gr - Hornady SP 2850         CB = 0,462</t>
  </si>
  <si>
    <t>Ogive 0.284 - 175gr - Sierra HPBT Matchking 1975CB = 0,608</t>
  </si>
  <si>
    <t>Ogive 0.284 - 175gr - Sierra SPBT 1940        CB = 0,524</t>
  </si>
  <si>
    <t>Ogive 0.284 - 180gr - Berger VLD              CB = 0,686</t>
  </si>
  <si>
    <t>Ogive 0.308 - 73gr - Lapua HPL403            CB = 0,12</t>
  </si>
  <si>
    <t>Ogive 0.308 - 75gr - Lapua FMJ-RN R429        CB = 0,1277</t>
  </si>
  <si>
    <t>Ogive 0.308 - 85gr - Sierra FMJ RN 8005       CB = 0,1</t>
  </si>
  <si>
    <t>Ogive 0.308 - 90gr - Hornady XTP/HP 31000     CB = 0,142</t>
  </si>
  <si>
    <t>Ogive 0.308 - 93gr - Lapua FMJ-RN R305        CB = 0,166</t>
  </si>
  <si>
    <t>Ogive 0.308 - 100gr - Hornady SJ 3005         CB = 0,152</t>
  </si>
  <si>
    <t>Ogive 0.308 - 100gr - Lapua HP G477 CE        CB = 0,17</t>
  </si>
  <si>
    <t>Ogive 0.308 - 105gr - Lapua HP G450           CB = 0,168</t>
  </si>
  <si>
    <t>Ogive 0.308 - 110gr - Berger                  CB = 0,283</t>
  </si>
  <si>
    <t>Ogive 0.308 - 110gr - HornadyFMJ 3017        CB = 0,178</t>
  </si>
  <si>
    <t>Ogive 0.308 - 110gr - Hornady RN 3015         CB = 0,15</t>
  </si>
  <si>
    <t>Ogive 0.308 - 110gr - Hornady V-MAX 23010     CB = 0,295</t>
  </si>
  <si>
    <t>Ogive 0.308 - 110gr - Hornady SP 3010         CB = 0,256</t>
  </si>
  <si>
    <t>Ogive 0.308 - 110gr - Norma FMJ RRN 67610     CB = 0,2</t>
  </si>
  <si>
    <t>Ogive 0.308 - 110gr - Norma SPRN 67621        CB = 0,204</t>
  </si>
  <si>
    <t>Ogive 0.308 - 110gr - Sierra FMJ RN 2105      CB = 0,142</t>
  </si>
  <si>
    <t>Ogive 0.308 - 110gr - Sierra HP 2110          CB = 0,174</t>
  </si>
  <si>
    <t>Ogive 0.308 - 110gr - Sierra SPRN 2100        CB = 0,142</t>
  </si>
  <si>
    <t>Ogive 0.308 - 123gr - Lapua FMJS374          CB = 0,28</t>
  </si>
  <si>
    <t>Ogive 0.308 - 123gr - Lapua FMJS495 CE       CB = 0,28</t>
  </si>
  <si>
    <t>Ogive 0.308 - 123gr - PrviPartizan FMJ   B-460CB = 0,29</t>
  </si>
  <si>
    <t>Ogive 0.308 - 125gr - Berger                  CB = 0,322</t>
  </si>
  <si>
    <t>Ogive 0.308 - 125gr - Lapua MEGA E468         CB = 0,27</t>
  </si>
  <si>
    <t>Ogive 0.308- 125gr - Lapua SP E373           CB = 0,2633</t>
  </si>
  <si>
    <t>Ogive 0.308 - 125gr - Sierra HPFN 30-30 2020  CB = 0,117</t>
  </si>
  <si>
    <t>Ogive 0.308 - 125gr - Sierra SP 2120          CB = 0,274</t>
  </si>
  <si>
    <t>Ogive 0.308 - 130gr - Hornady SP 3020         CB = 0,295</t>
  </si>
  <si>
    <t>Ogive 0.308 - 130gr - Hornady SPSSPistol 3021CB = 0,295</t>
  </si>
  <si>
    <t>Ogive 0.308 - 130gr - Lapua HP G402           CB = 0,21</t>
  </si>
  <si>
    <t>Ogive 0.308 - 130gr - Norma SP 67623          CB = 0,3</t>
  </si>
  <si>
    <t>Ogive 0.308 - 135gr - Berger                  CB = 0,352</t>
  </si>
  <si>
    <t>Ogive 0.308 - 135gr - Sierra SPSSPistol 7350 CB = 0,299</t>
  </si>
  <si>
    <t>Ogive 0.308 - 139gr - PrviPartizan FMJ  B-007CB = 0,36</t>
  </si>
  <si>
    <t>Ogive 0.308 - 145gr - PrviPartizan FMJBT B-009CB = 0,4</t>
  </si>
  <si>
    <t>Ogive 0.308 - 146gr - Lapua FMJ BTB334       CB = 0,395</t>
  </si>
  <si>
    <t>Ogive 0.308 - 146gr - Norma FMJ Spitz 67651   CB = 0,44</t>
  </si>
  <si>
    <t>Ogive 0.308 - 150gr - Berger                  CB = 0,382</t>
  </si>
  <si>
    <t>Ogive 0.308 - 150gr - Hornady InterBond 30309 CB = 0,415</t>
  </si>
  <si>
    <t>Ogive 0.308 - 150gr - Hornady RN 3035         CB = 0,186</t>
  </si>
  <si>
    <t>Ogive 0.308 - 150gr - Hornady BTSP 3033       CB = 0,349</t>
  </si>
  <si>
    <t>Ogive 0.308 - 150gr - Hornady FMJ-BT 3037     CB = 0,398</t>
  </si>
  <si>
    <t>Ogive 0.308 - 150gr - Hornady SP 3031         CB = 0,338</t>
  </si>
  <si>
    <t>Ogive 0.308 - 150gr - Hornady SST InterLock 30302CB = 0,415</t>
  </si>
  <si>
    <t>Ogive 0.308 - 150gr - Lapua MEGA E469         CB = 0,33</t>
  </si>
  <si>
    <t>Ogive 0.308 - 150gr - Lapua LockBaseB466     CB = 0,488</t>
  </si>
  <si>
    <t>Ogive 0.308 - 150gr - Norma SemiSP 67624      CB = 0,28</t>
  </si>
  <si>
    <t>Ogive 0.308 - 150gr - Norma SPFN 67630        CB = 0,25</t>
  </si>
  <si>
    <t>Ogive 0.308 - 150gr - Sierra FMJBT 2115      CB = 0,401</t>
  </si>
  <si>
    <t>Ogive 0.308 - 150gr - Sierra HPBT MatchK 2190 CB = 0,41</t>
  </si>
  <si>
    <t>Ogive 0.308 - 150gr - Sierra SP 2130          CB = 0,33</t>
  </si>
  <si>
    <t>Ogive 0.308 - 150gr - Sierra SPBT 2125        CB = 0,373</t>
  </si>
  <si>
    <t>Ogive 0.308 - 150gr - Sierra SPFN 30-30 2000  CB = 0,182</t>
  </si>
  <si>
    <t>Ogive 0.308 - 150gr - Sierra SPRN 2135        CB = 0,197</t>
  </si>
  <si>
    <t>Ogive 0.308 - 155gr - Berger VLD              CB = 0,475</t>
  </si>
  <si>
    <t>Ogive 0.308 - 155gr - Berger LTB              CB = 0,42</t>
  </si>
  <si>
    <t>Ogive 0.308 - 155gr - Hornady A-MAX 30312     CB = 0,435</t>
  </si>
  <si>
    <t>Ogive 0.308 - 155gr - Lapua Scenar GB491      CB = 0,508</t>
  </si>
  <si>
    <t>Ogive 0.308 - 155gr - Sierra HPBT Palma MK 2155CB = 0,442</t>
  </si>
  <si>
    <t>Ogive 0.308 - 165gr - Federal SP  TrophyBond.CB = 0,41</t>
  </si>
  <si>
    <t>Ogive 0.308 - 165gr - Hornady InterBond 30459 CB = 0,447</t>
  </si>
  <si>
    <t>Ogive 0.308 - 165gr - Hornady BTSP 3045       CB = 0,45</t>
  </si>
  <si>
    <t>Ogive 0.308 - 165gr - Hornady SP 3040         CB = 0,387</t>
  </si>
  <si>
    <t>Ogive 0.308 - 165gr - Hornady SST InterLock 30452CB = 0,447</t>
  </si>
  <si>
    <t>Ogive 0.308 - 165gr - Sierra HPBT 2140        CB = 0,357</t>
  </si>
  <si>
    <t>Ogive 0.308 - 165gr - Sierra SPBT 2145        CB = 0,397</t>
  </si>
  <si>
    <t>Ogive 0.308 - 167gr - Lapua Scenar GB422      CB = 0,47</t>
  </si>
  <si>
    <t>Ogive 0.308 - 168gr - Berger VLD              CB = 0,503</t>
  </si>
  <si>
    <t>Ogive 0.308 - 168gr - BergerL TB              CB = 0,458</t>
  </si>
  <si>
    <t>Ogive 0.308 - 168gr - Hornady A-MAX 30502     CB = 0,475</t>
  </si>
  <si>
    <t>Ogive 0.308 - 168gr - Hornady BTHP Natl M 30501CB = 0,45</t>
  </si>
  <si>
    <t>Ogive 0.308 - 168gr - Norma Diamond 67635     CB = 0,46</t>
  </si>
  <si>
    <t>Ogive 0.308 - 168gr - Sierra HPBT MatchK 2200 CB = 0,454</t>
  </si>
  <si>
    <t>Ogive 0.308 - 168gr - Sierra HPBT MK 2200     CB = 0,442</t>
  </si>
  <si>
    <t>Ogive 0.308 - 170gr - Hornady FP 3060         CB = 0,189</t>
  </si>
  <si>
    <t>Ogive 0.308 - 170gr - Lapua FMJBT D46         CB = 0,504</t>
  </si>
  <si>
    <t>Ogive 0.308 - 170gr - Lapua FMJBT D47         CB = 0,504</t>
  </si>
  <si>
    <t>Ogive 0.308 - 170gr - Lapua LockBaseB476     CB = 0,525</t>
  </si>
  <si>
    <t>Ogive 0.308 - 170gr - Norma SPFN 67631        CB = 0,265</t>
  </si>
  <si>
    <t>Ogive 0.308 - 170gr - PrviPartizan FSP    B-200CB = 0,25</t>
  </si>
  <si>
    <t>Ogive 0.308 - 170gr - Sierra SPFN 30-30 2010  CB = 0,201</t>
  </si>
  <si>
    <t>Ogive 0.308 - 174gr - PrviPartizan FMJBT B-345CB = 0,5</t>
  </si>
  <si>
    <t>Ogive 0.308 - 174gr - PrviPartizan SP  B-428CB = 0,36</t>
  </si>
  <si>
    <t>Ogive 0.308 - 175gr - Berger VLD              CB = 0,527</t>
  </si>
  <si>
    <t>Ogive 0.308 - 175gr - PrviPartizan FMJBT B-366CB = 0,485</t>
  </si>
  <si>
    <t>Ogive 0.308 - 175gr - Sierra HPBT MatchK 2275 CB = 0,496</t>
  </si>
  <si>
    <t>Ogive 0.308 - 178gr - Hornady A-MAX 30712     CB = 0,495</t>
  </si>
  <si>
    <t>Ogive 0.308 - 178gr - Hornady BTHP Match 30631CB = 0,505</t>
  </si>
  <si>
    <t>Ogive 0.308 - 180gr - Federal SP  TrophyBond.CB = 0,315</t>
  </si>
  <si>
    <t>Ogive 0.308 - 180gr - Hornady InterBond 30709 CB = 0,48</t>
  </si>
  <si>
    <t>Ogive 0.308 - 180gr - Hornady RN 3075         CB = 0,241</t>
  </si>
  <si>
    <t>Ogive 0.308 - 180gr - Hornady BTSP 3072       CB = 0,452</t>
  </si>
  <si>
    <t>Ogive 0.308 - 180gr - Hornady SP 3070         CB = 0,425</t>
  </si>
  <si>
    <t>Ogive 0.308 - 180gr - Hornady SST InterLock 30702CB = 0,48</t>
  </si>
  <si>
    <t>Ogive 0.308 - 180gr - Lapua NaturalisN505    CB = 0,301</t>
  </si>
  <si>
    <t>Ogive 0.308 - 180gr - Norma ORYX 67638        CB = 0,335</t>
  </si>
  <si>
    <t>Ogive 0.308 - 180gr - Norma PlastSpitz 67628  CB = 0,36</t>
  </si>
  <si>
    <t>Ogive 0.308 - 180gr - Norma VULKAN 67653      CB = 0,31</t>
  </si>
  <si>
    <t>Ogive 0.308 - 180gr - Norma SemiSP 67625      CB = 0,4</t>
  </si>
  <si>
    <t>Ogive 0.308 - 180gr - Norma Silverbl 67628    CB = 0,4</t>
  </si>
  <si>
    <t>Ogive 0.308 - 180gr - Norma SP ALASKA 67648   CB = 0,25</t>
  </si>
  <si>
    <t>Ogive 0.308 - 180gr - Sierra HP MatchK 2220   CB = 0,467</t>
  </si>
  <si>
    <t>Ogive 0.308 - 180gr - Sierra SP 2150          CB = 0,4</t>
  </si>
  <si>
    <t>Ogive 0.308 - 180gr - Sierra SPBT 2160        CB = 0,492</t>
  </si>
  <si>
    <t>Ogive 0.308 - 180gr - Sierra SPRN 2170        CB = 0,236</t>
  </si>
  <si>
    <t>Ogive 0.308 - 185gr - Berger VLD              CB = 0,559</t>
  </si>
  <si>
    <t>Ogive 0.308 - 185gr - Lapua MEGA E415         CB = 0,319</t>
  </si>
  <si>
    <t>Ogive 0.308 - 185gr - Lapua Mira EB423        CB = 0,458</t>
  </si>
  <si>
    <t>Ogive 0.308 - 185gr - Lapua FMJBT D46         CB = 0,547</t>
  </si>
  <si>
    <t>Ogive 0.308 - 185gr - Lapua FMJBT D47         CB = 0,547</t>
  </si>
  <si>
    <t>Ogive 0.308 - 185gr - Lapua FOREX EX481       CB = 0,19</t>
  </si>
  <si>
    <t>Ogive 0.308 - 185gr - Lapua Scenar GB432      CB = 0,521</t>
  </si>
  <si>
    <t>Ogive 0.308 - 190gr - Berger VLD              CB = 0,573</t>
  </si>
  <si>
    <t>Ogive 0.308 - 190gr - Hornady BTSP 3085       CB = 0,491</t>
  </si>
  <si>
    <t>Ogive 0.308 - 190gr - Sierra HP MatchK 2210   CB = 0,524</t>
  </si>
  <si>
    <t>Ogive 0.308 - 200gr - Federal SP  TrophyBond.CB = 0,398</t>
  </si>
  <si>
    <t>Ogive 0.308 - 200gr - Lapua MEGA E401         CB = 0,344</t>
  </si>
  <si>
    <t>Ogive 0.308 - 200gr - Lapua NaturalisN513    CB = 0,33</t>
  </si>
  <si>
    <t>Ogive 0.308 - 200gr - Norma ORYX 67639        CB = 0,34</t>
  </si>
  <si>
    <t>Ogive 0.308 - 200gr - Norma VULKAN 67654      CB = 0,33</t>
  </si>
  <si>
    <t>Ogive 0.308 - 200gr - Sierra HP MatchK 2230   CB = 0,555</t>
  </si>
  <si>
    <t>Ogive 0.308 - 200gr - Sierra SPBT 2165        CB = 0,55</t>
  </si>
  <si>
    <t>Ogive 0.308 - 210gr - Berger VLD              CB = 0,629</t>
  </si>
  <si>
    <t>Ogive 0.308 - 210gr - Sierra HP MatchK 9240   CB = 0,589</t>
  </si>
  <si>
    <t>Ogive 0.308 - 220gr - Hornady RN 3090         CB = 0,3</t>
  </si>
  <si>
    <t>Ogive 0.308 - 220gr - Sierra HP MatchK 2240   CB = 0,618</t>
  </si>
  <si>
    <t>Ogive 0.308 - 220gr - Sierra SPRN 2180        CB = 0,335</t>
  </si>
  <si>
    <t>Ogive 0.308 - 240gr - Sierra MK               CB = 0,699</t>
  </si>
  <si>
    <t>Ogive 0.308 - 240gr - Sierra HPBTLR MatchK 9245CB = 0,699</t>
  </si>
  <si>
    <t xml:space="preserve">.243 - 62gr - Berger                   </t>
  </si>
  <si>
    <t xml:space="preserve">.243 - 62gr - Berger MEF               </t>
  </si>
  <si>
    <t xml:space="preserve">.243 - 62gr - Berger ND                </t>
  </si>
  <si>
    <t xml:space="preserve">.243 - 65gr - Berger                   </t>
  </si>
  <si>
    <t xml:space="preserve">.243 - 65gr - Berger MEF               </t>
  </si>
  <si>
    <t xml:space="preserve">.243 - 65gr - Berger ND                </t>
  </si>
  <si>
    <t xml:space="preserve">.243 - 65gr - Hornady V-Max            </t>
  </si>
  <si>
    <t xml:space="preserve">.243 - 65gr - Hornady V-MAX 22415      </t>
  </si>
  <si>
    <t xml:space="preserve">.243 - 68gr - Berger                   </t>
  </si>
  <si>
    <t xml:space="preserve">.243 - 68gr - Berger MEF               </t>
  </si>
  <si>
    <t xml:space="preserve">.243 - 68gr - Berger ND                </t>
  </si>
  <si>
    <t xml:space="preserve">.243 - 70gr - Berger                   </t>
  </si>
  <si>
    <t xml:space="preserve">.243 - 70gr - Berger MEF               </t>
  </si>
  <si>
    <t xml:space="preserve">.243 - 70gr - HornadySP 2410          </t>
  </si>
  <si>
    <t xml:space="preserve">.243 - 70gr - SierraHPBT MatchK 1505  </t>
  </si>
  <si>
    <t xml:space="preserve">.243 - 71gr - BergerBT                </t>
  </si>
  <si>
    <t xml:space="preserve">.243 - 71gr - BergerBT MEF            </t>
  </si>
  <si>
    <t xml:space="preserve">.243 - 74gr - Berger                   </t>
  </si>
  <si>
    <t xml:space="preserve">.243 - 74gr - Berger MEF               </t>
  </si>
  <si>
    <t xml:space="preserve">.243 - 75gr - Hornady V-MAX 22420      </t>
  </si>
  <si>
    <t xml:space="preserve">.243 - 75gr - HornadyHP 2420          </t>
  </si>
  <si>
    <t xml:space="preserve">.243 - 75gr - SierraHP 1510           </t>
  </si>
  <si>
    <t xml:space="preserve">.243 - 77gr - LapuaHP G490            </t>
  </si>
  <si>
    <t xml:space="preserve">.243 - 80gr - Berger                   </t>
  </si>
  <si>
    <t xml:space="preserve">.243 - 80gr - Berger MEF               </t>
  </si>
  <si>
    <t xml:space="preserve">.243 - 80gr - Hornady FMJ 2430         </t>
  </si>
  <si>
    <t xml:space="preserve">.243 - 80gr - HornadySPSSPistol 2435 </t>
  </si>
  <si>
    <t xml:space="preserve">.243 - 80gr - SierraSPBTBlitz 1515   </t>
  </si>
  <si>
    <t xml:space="preserve">.243 - 80gr - SierraSPSSPistol 7150  </t>
  </si>
  <si>
    <t xml:space="preserve">.243 - 85gr - LapuaSP E360            </t>
  </si>
  <si>
    <t xml:space="preserve">.243 - 85gr - SierraHPBT 1530         </t>
  </si>
  <si>
    <t xml:space="preserve">.243 - 85gr - SierraSP 1520           </t>
  </si>
  <si>
    <t xml:space="preserve">.243 - 87gr - Hornady V-MAX 22440      </t>
  </si>
  <si>
    <t xml:space="preserve">.243 - 87gr - HornadyBTHP 2442        </t>
  </si>
  <si>
    <t xml:space="preserve">.243 - 87gr - HornadySP 2440          </t>
  </si>
  <si>
    <t xml:space="preserve">.243 - 88gr - BergerLD MEF            </t>
  </si>
  <si>
    <t xml:space="preserve">.243 - 90gr - BergerBT                </t>
  </si>
  <si>
    <t xml:space="preserve">.243 - 90gr - BergerBT MEF            </t>
  </si>
  <si>
    <t xml:space="preserve">.243 - 90gr - Lapua FMJ E342           </t>
  </si>
  <si>
    <t xml:space="preserve">.243 - 90gr - Lapua Mega E453          </t>
  </si>
  <si>
    <t xml:space="preserve">.243 - 90gr - Lapua Naturalis          </t>
  </si>
  <si>
    <t xml:space="preserve">.243 - 90gr - LapuaHPBTScenar GB493  </t>
  </si>
  <si>
    <t xml:space="preserve">.243 - 90gr - Sierra FMJBT 1535       </t>
  </si>
  <si>
    <t xml:space="preserve">.243 - 95gr - Berger VLD               </t>
  </si>
  <si>
    <t>.243 - 95gr - HornadySST InterLock 24532</t>
  </si>
  <si>
    <t xml:space="preserve">.243 - 100gr - Hornady RN 2455         </t>
  </si>
  <si>
    <t xml:space="preserve">.243 - 100gr - HornadyBTSP 2453       </t>
  </si>
  <si>
    <t xml:space="preserve">.243 - 100gr - HornadySP 2450         </t>
  </si>
  <si>
    <t xml:space="preserve">.243 - 100gr - Lapua MEGA E457         </t>
  </si>
  <si>
    <t xml:space="preserve">.243 - 100gr - SierraSP 1540          </t>
  </si>
  <si>
    <t xml:space="preserve">.243 - 100gr - SierraSPBT 1560        </t>
  </si>
  <si>
    <t xml:space="preserve">.243 - 100gr - SierraSPSemiSp 1550   </t>
  </si>
  <si>
    <t xml:space="preserve">.243 - 105gr - Berger VLD              </t>
  </si>
  <si>
    <t xml:space="preserve">.243 - 105gr - BergerBT               </t>
  </si>
  <si>
    <t xml:space="preserve">.243 - 105gr - BergerLTB              </t>
  </si>
  <si>
    <t xml:space="preserve">.243 - 105gr - Hornady A-MAX 24562     </t>
  </si>
  <si>
    <t xml:space="preserve">.243 - 105gr - LapuaHPBTScenar GB478 </t>
  </si>
  <si>
    <t xml:space="preserve">.243 - 107gr - SierraHPBT MatchK 1570 </t>
  </si>
  <si>
    <t xml:space="preserve">.243 - 107gr - SierraHPBT MK 1570     </t>
  </si>
  <si>
    <t xml:space="preserve">.243 - 115gr - Berger VLD              </t>
  </si>
  <si>
    <t xml:space="preserve">.264 - 80gr - Norma FMJ RN 66522       </t>
  </si>
  <si>
    <t xml:space="preserve">.264 - 85gr - Sierra HP 1700           </t>
  </si>
  <si>
    <t xml:space="preserve">.264 - 95gr - Hornady V-MAX 22601      </t>
  </si>
  <si>
    <t xml:space="preserve">.264 - 100gr - Hornady SP 2610         </t>
  </si>
  <si>
    <t xml:space="preserve">.264 - 100gr - Lapua FMJ CES496       </t>
  </si>
  <si>
    <t xml:space="preserve">.264 - 100gr - Norma HP 66520          </t>
  </si>
  <si>
    <t xml:space="preserve">.264 - 100gr - Sierra HP 1710          </t>
  </si>
  <si>
    <t xml:space="preserve">.264 - 107gr - Sierra HPBT MatchK 1715 </t>
  </si>
  <si>
    <t xml:space="preserve">.264 - 108gr - LapuaHPBT GB404        </t>
  </si>
  <si>
    <t xml:space="preserve">.264 - 108gr - Lapua Scenar GB464      </t>
  </si>
  <si>
    <t xml:space="preserve">.264 - 120gr - Sierra HPBT MatchK 1725 </t>
  </si>
  <si>
    <t xml:space="preserve">.264 - 120gr - Sierra SP 1720          </t>
  </si>
  <si>
    <t xml:space="preserve">.264 - 123gr - Lapua Scenar GB489      </t>
  </si>
  <si>
    <t xml:space="preserve">.264 - 129gr - Hornady SP 2620         </t>
  </si>
  <si>
    <t>.264 - 129gr - Hornady SST InterLock 26202</t>
  </si>
  <si>
    <t>.264 - 130gr - Norma VLD Diamond  66508</t>
  </si>
  <si>
    <t xml:space="preserve">.264 - 139gr - Lapua Scenar GB458      </t>
  </si>
  <si>
    <t>.264 - 139gr - Norma FMJ Elektron 66516</t>
  </si>
  <si>
    <t xml:space="preserve">.264 - 139gr - Norma HP 66517          </t>
  </si>
  <si>
    <t xml:space="preserve">.264 - 139gr - Norma PlastSpitz 66512  </t>
  </si>
  <si>
    <t xml:space="preserve">.264 - 139gr - Norma SemiSP 66531      </t>
  </si>
  <si>
    <t xml:space="preserve">.264 - 139gr - Norma VULKAN 66533      </t>
  </si>
  <si>
    <t xml:space="preserve">.264 - 140gr - Berger VLD              </t>
  </si>
  <si>
    <t xml:space="preserve">.264 - 140gr - Hornady A-MAX 26332     </t>
  </si>
  <si>
    <t xml:space="preserve">.264 - 140gr - Hornady SP 2630         </t>
  </si>
  <si>
    <t xml:space="preserve">.264 - 140gr - Hornady SST 26302       </t>
  </si>
  <si>
    <t xml:space="preserve">.264 - 140gr - Lapua NaturalisN507    </t>
  </si>
  <si>
    <t xml:space="preserve">.264 - 140gr - Sierra HPBT MatchK 1740 </t>
  </si>
  <si>
    <t xml:space="preserve">.264 - 140gr - Sierra HPBT MK 1740     </t>
  </si>
  <si>
    <t xml:space="preserve">.264 - 140gr - Sierra SPBT 1730        </t>
  </si>
  <si>
    <t xml:space="preserve">.264 - 142gr - Sierra HPBT MatchK 1742 </t>
  </si>
  <si>
    <t xml:space="preserve">.264 - 155gr - Lapua MEGA E471         </t>
  </si>
  <si>
    <t xml:space="preserve">.264 - 155gr - Lapua SPFN E390         </t>
  </si>
  <si>
    <t>.264 - 155gr - Sierra HPBTLR MatchK 9570</t>
  </si>
  <si>
    <t xml:space="preserve">.264 - 156gr - Norma ORYX 66524        </t>
  </si>
  <si>
    <t xml:space="preserve">.264 - 156gr - Norma SP Alaska 66532   </t>
  </si>
  <si>
    <t xml:space="preserve">.264 - 156gr - Norma VULKAN 66535      </t>
  </si>
  <si>
    <t xml:space="preserve">.264 - 160gr - Hornady RN 2640         </t>
  </si>
  <si>
    <t xml:space="preserve">.264 - 160gr - Sierra SPSemiSp 1750   </t>
  </si>
  <si>
    <t xml:space="preserve">.284 - 100gr - Hornady HP 2800         </t>
  </si>
  <si>
    <t xml:space="preserve">.284 - 100gr - Sierra HP 1895          </t>
  </si>
  <si>
    <t xml:space="preserve">.284 - 110gr - Norma SP Spitz          </t>
  </si>
  <si>
    <t xml:space="preserve">.284 - 120gr - Hornady V-Max 22810     </t>
  </si>
  <si>
    <t xml:space="preserve">.284 - 120gr - Hornady HP 2815         </t>
  </si>
  <si>
    <t xml:space="preserve">.284 - 120gr - Hornady SP 2810         </t>
  </si>
  <si>
    <t>.284 - 120gr - Hornady SPSSPistol 2811</t>
  </si>
  <si>
    <t xml:space="preserve">.284 - 120gr - Sierra SP 1900          </t>
  </si>
  <si>
    <t xml:space="preserve">.284 - 130gr - Sierra HPBT MatchK 1903 </t>
  </si>
  <si>
    <t xml:space="preserve">.284 - 130gr - Sierra SPSSPistol 7250 </t>
  </si>
  <si>
    <t xml:space="preserve">.284 - 139gr - Hornady BTSP 2825       </t>
  </si>
  <si>
    <t xml:space="preserve">.284 - 139gr - Hornady InterBond 28209 </t>
  </si>
  <si>
    <t xml:space="preserve">.284 - 139gr - Hornady FP 2822         </t>
  </si>
  <si>
    <t xml:space="preserve">.284 - 139gr - Hornady SP 2820         </t>
  </si>
  <si>
    <t>.284 - 139gr - Hornady SST InterLock 28202</t>
  </si>
  <si>
    <t xml:space="preserve">.284 - 140gr - Sierra SP 1910          </t>
  </si>
  <si>
    <t xml:space="preserve">.284 - 140gr - Sierra SPBT 1905        </t>
  </si>
  <si>
    <t xml:space="preserve">.284 - 150gr - Norma FMJSemiP 67003   </t>
  </si>
  <si>
    <t xml:space="preserve">.284 - 150gr - Norma SP 67002          </t>
  </si>
  <si>
    <t xml:space="preserve">.284 - 150gr - Sierra HPBT MatchK 1915 </t>
  </si>
  <si>
    <t xml:space="preserve">.284 - 150gr - Sierra HPBT MK 1915     </t>
  </si>
  <si>
    <t xml:space="preserve">.284 - 150gr - Sierra SPBT 1913        </t>
  </si>
  <si>
    <t xml:space="preserve">.284 - 154gr - Hornady InterBond 28309 </t>
  </si>
  <si>
    <t xml:space="preserve">.284 - 154gr - Hornady RN 2835         </t>
  </si>
  <si>
    <t xml:space="preserve">.284 - 154gr - Hornady SP 2830         </t>
  </si>
  <si>
    <t>.284 - 154gr - Hornady SST InterLock 28302</t>
  </si>
  <si>
    <t xml:space="preserve">.284 - 154gr - Norma SP 67033          </t>
  </si>
  <si>
    <t xml:space="preserve">.284 - 156gr - Norma ORYX 67004        </t>
  </si>
  <si>
    <t>.284 - 160gr - Federal SP Trophy Bond.</t>
  </si>
  <si>
    <t xml:space="preserve">.284 - 160gr - Lapua NaturalisN510    </t>
  </si>
  <si>
    <t xml:space="preserve">.284 - 160gr - Sierra HPBT 1925        </t>
  </si>
  <si>
    <t xml:space="preserve">.284 - 160gr - Sierra SPBT 1920        </t>
  </si>
  <si>
    <t xml:space="preserve">.284 - 162gr - Hornady A-MAX 28402     </t>
  </si>
  <si>
    <t xml:space="preserve">.284 - 162gr - Hornady BTSP 2845       </t>
  </si>
  <si>
    <t>.284 - 162gr - Hornady SST InterLock 28452</t>
  </si>
  <si>
    <t xml:space="preserve">.284 - 168gr - Berger VLD              </t>
  </si>
  <si>
    <t xml:space="preserve">.284 - 168gr - Sierra HPBT MatchK 1930 </t>
  </si>
  <si>
    <t xml:space="preserve">.284 - 168gr - Sierra HPBT MK 1930     </t>
  </si>
  <si>
    <t xml:space="preserve">.284 - 170gr - Norma ORYX 67001        </t>
  </si>
  <si>
    <t xml:space="preserve">.284 - 170gr - Norma PPC VULKAN 67006  </t>
  </si>
  <si>
    <t xml:space="preserve">.284 - 170gr - Norma VULKAN 67006      </t>
  </si>
  <si>
    <t xml:space="preserve">.284 - 170gr - Sierra SPRN 1950        </t>
  </si>
  <si>
    <t>.284 - 175gr - Federal SP Trophy Bond.</t>
  </si>
  <si>
    <t xml:space="preserve">.284 - 175gr - Hornady RN 2855         </t>
  </si>
  <si>
    <t xml:space="preserve">.284 - 175gr - Hornady SP 2850         </t>
  </si>
  <si>
    <t>.284 - 175gr - Sierra HPBT Matchking 1975</t>
  </si>
  <si>
    <t xml:space="preserve">.284 - 175gr - Sierra SPBT 1940        </t>
  </si>
  <si>
    <t xml:space="preserve">.284 - 180gr - Berger VLD              </t>
  </si>
  <si>
    <t xml:space="preserve">.308 - 73gr - Lapua HPL403            </t>
  </si>
  <si>
    <t xml:space="preserve">.308 - 85gr - Sierra FMJ RN 8005       </t>
  </si>
  <si>
    <t xml:space="preserve">.308 - 90gr - Hornady XTP/HP 31000     </t>
  </si>
  <si>
    <t xml:space="preserve">.308 - 100gr - Hornady SJ 3005         </t>
  </si>
  <si>
    <t xml:space="preserve">.308 - 105gr - Lapua HP G450           </t>
  </si>
  <si>
    <t xml:space="preserve">.308 - 110gr - Berger                  </t>
  </si>
  <si>
    <t xml:space="preserve">.308 - 110gr - HornadyFMJ 3017        </t>
  </si>
  <si>
    <t>Sierra Blitzking 1502</t>
  </si>
  <si>
    <t xml:space="preserve">Berger LD 15 Ogive       </t>
  </si>
  <si>
    <t xml:space="preserve">Hornady SP 2410          </t>
  </si>
  <si>
    <t xml:space="preserve">Hornady SXSP 2415        </t>
  </si>
  <si>
    <t xml:space="preserve">Sierra Blitzking 1507    </t>
  </si>
  <si>
    <t xml:space="preserve">.243 - 70gr - Sierra Blitzking 1507    </t>
  </si>
  <si>
    <t xml:space="preserve">.243 - 70gr - Hornady SXSP 2415        </t>
  </si>
  <si>
    <t xml:space="preserve">.243 - 69gr - Berger LD 15 Ogive       </t>
  </si>
  <si>
    <t xml:space="preserve">.243 - 66gr - Berger LD 15 Ogive       </t>
  </si>
  <si>
    <t xml:space="preserve">.243 - 65gr - Berger SJ                </t>
  </si>
  <si>
    <t xml:space="preserve">.243 - 65gr - Berger BT                </t>
  </si>
  <si>
    <t xml:space="preserve">Berger BT                </t>
  </si>
  <si>
    <t xml:space="preserve">.243 - 60gr - Sierra HP 1500           </t>
  </si>
  <si>
    <t xml:space="preserve">.308 - 100gr - Lapua HP G477 CE        </t>
  </si>
  <si>
    <t xml:space="preserve">.308 - 93gr - Lapua FMJ-RN R305        </t>
  </si>
  <si>
    <t xml:space="preserve">.308 - 75gr - Lapua FMJ-RN R429        </t>
  </si>
  <si>
    <t xml:space="preserve">.308 - 123gr - Lapua FMJS374          </t>
  </si>
  <si>
    <t xml:space="preserve">.308 - 123gr - Lapua FMJS495 CE       </t>
  </si>
  <si>
    <t xml:space="preserve">.308 - 125gr - Lapua SP E373           </t>
  </si>
  <si>
    <t xml:space="preserve">.308 - 146gr - Lapua FMJBTB334       </t>
  </si>
  <si>
    <t>.284 - 173gr - PrviPartizan SP  B-067</t>
  </si>
  <si>
    <t>.284 - 173gr - PrviPartizan FMJ BT  B-141</t>
  </si>
  <si>
    <t xml:space="preserve">.284 - 173gr - Lapua SP E295           </t>
  </si>
  <si>
    <t xml:space="preserve">.284 - 170gr - Lapua LockBase B442     </t>
  </si>
  <si>
    <t xml:space="preserve">.284 - 170gr - Lapua MEGA E426         </t>
  </si>
  <si>
    <t>.284 - 139gr - PrviPartizan SP  B-051</t>
  </si>
  <si>
    <t xml:space="preserve">.264 - 144gr - Lapua FMJBTB343       </t>
  </si>
  <si>
    <t xml:space="preserve">.264 - 100gr - Lapua FMJS341          </t>
  </si>
  <si>
    <t>Ogive 0.243 - 55gr - Sierra Blitzking 1502    CB = 0,18</t>
  </si>
  <si>
    <t>Ogive 0.243 - 58gr - Hornady V-MAX 22411      CB = 0,25</t>
  </si>
  <si>
    <t>Ogive 0.243 - 60gr - Berger MEF               CB = 0,207</t>
  </si>
  <si>
    <t>Ogive 0.243 - 60gr - Sierra HP 1500  CB = 0,179</t>
  </si>
  <si>
    <t>Ogive 0.243 - 62gr - Berger  CB = 0,252</t>
  </si>
  <si>
    <t>Ogive 0.243 - 62gr - Berger MEF               CB = 0,217</t>
  </si>
  <si>
    <t>Ogive 0.243 - 62gr - Berger ND                CB = 0,26</t>
  </si>
  <si>
    <t>Ogive 0.243 - 65gr - Berger                   CB = 0,259</t>
  </si>
  <si>
    <t>Ogive 0.243 - 65gr - Berger MEF               CB = 0,229</t>
  </si>
  <si>
    <t>Ogive 0.243 - 65gr - Berger ND                CB = 0,265</t>
  </si>
  <si>
    <t>Ogive 0.243 - 65gr - Berger BT                CB = 0,281</t>
  </si>
  <si>
    <t>Ogive 0.243 - 65gr - Berger SJ                CB = 0,258</t>
  </si>
  <si>
    <t>Ogive 0.243 - 65gr - Hornady V-Max            CB = 0,281</t>
  </si>
  <si>
    <t>Ogive 0.243 - 65gr - Hornady V-MAX 22415      CB = 0,28</t>
  </si>
  <si>
    <t>Ogive 0.243 - 66gr - Berger LD 15 Ogive       CB = 0,303</t>
  </si>
  <si>
    <t>Ogive 0.243 - 68gr - Berger                   CB = 0,271</t>
  </si>
  <si>
    <t>Ogive 0.243 - 68gr - Berger MEF               CB = 0,24</t>
  </si>
  <si>
    <t>Ogive 0.243 - 68gr - Berger ND                CB = 0,278</t>
  </si>
  <si>
    <t>Ogive 0.243 - 69gr - Berger LD 15 Ogive       CB = 0,315</t>
  </si>
  <si>
    <t>Ogive 0.243 - 70gr - Berger                   CB = 0,278</t>
  </si>
  <si>
    <t>Ogive 0.243 - 70gr - Berger MEF               CB = 0,243</t>
  </si>
  <si>
    <t>Ogive 0.243 - 70gr - HornadySP 2410          CB = 0,269</t>
  </si>
  <si>
    <t>Ogive 0.243 - 70gr - Hornady SXSP 2415        CB = 0,269</t>
  </si>
  <si>
    <t>Ogive 0.243 - 70gr - Sierra Blitzking 1507    CB = 0,321</t>
  </si>
  <si>
    <t>Ogive 0.243 - 70gr - Sierra HPBT MatchK 1505  CB = 0,255</t>
  </si>
  <si>
    <t>Ogive 0.243 - 71gr - Berger BT                CB = 0,312</t>
  </si>
  <si>
    <t>Ogive 0.243 - 71gr - Berger BT MEF            CB = 0,282</t>
  </si>
  <si>
    <t>Ogive 0.243 - 74gr - Berger                   CB = 0,287</t>
  </si>
  <si>
    <t>Ogive 0.243 - 74gr - Berger MEF               CB = 0,25</t>
  </si>
  <si>
    <t>Ogive 0.243 - 75gr - Hornady V-MAX 22420      CB = 0,33</t>
  </si>
  <si>
    <t>Ogive 0.243 - 75gr - Hornady HP 2420          CB = 0,294</t>
  </si>
  <si>
    <t>Ogive 0.243 - 75gr - Sierra HP 1510           CB = 0,213</t>
  </si>
  <si>
    <t>Ogive 0.243 - 77gr - Lapua HP G490            CB = 0,34</t>
  </si>
  <si>
    <t xml:space="preserve">.308 - 110gr - Hornady RN 3015         </t>
  </si>
  <si>
    <t xml:space="preserve">.308 - 110gr - Hornady V-MAX 23010     </t>
  </si>
  <si>
    <t xml:space="preserve">.308 - 110gr - Hornady SP 3010         </t>
  </si>
  <si>
    <t xml:space="preserve">.308 - 110gr - Norma FMJ RRN 67610     </t>
  </si>
  <si>
    <t xml:space="preserve">.308 - 110gr - Norma SPRN 67621        </t>
  </si>
  <si>
    <t xml:space="preserve">.308 - 110gr - Sierra FMJ RN 2105      </t>
  </si>
  <si>
    <t xml:space="preserve">.308 - 110gr - Sierra HP 2110          </t>
  </si>
  <si>
    <t xml:space="preserve">.308 - 110gr - Sierra SPRN 2100        </t>
  </si>
  <si>
    <t xml:space="preserve">.308 - 125gr - Berger                  </t>
  </si>
  <si>
    <t xml:space="preserve">.308 - 125gr - Lapua MEGA E468         </t>
  </si>
  <si>
    <t xml:space="preserve">.308 - 125gr - Sierra HPFN 30-30 2020  </t>
  </si>
  <si>
    <t xml:space="preserve">.308 - 125gr - Sierra SP 2120          </t>
  </si>
  <si>
    <t xml:space="preserve">.308 - 130gr - Hornady SP 3020         </t>
  </si>
  <si>
    <t>.308 - 130gr - HornadySPSSPistol 3021</t>
  </si>
  <si>
    <t xml:space="preserve">.308 - 130gr - Lapua HP G402           </t>
  </si>
  <si>
    <t xml:space="preserve">.308 - 130gr - Norma SP 67623          </t>
  </si>
  <si>
    <t xml:space="preserve">.308 - 135gr - Berger                  </t>
  </si>
  <si>
    <t xml:space="preserve">.308 - 135gr - Sierra SPSSPistol 7350 </t>
  </si>
  <si>
    <t xml:space="preserve">.308 - 146gr - Norma FMJSpitz 67651   </t>
  </si>
  <si>
    <t xml:space="preserve">.308 - 150gr - Berger                  </t>
  </si>
  <si>
    <t xml:space="preserve">.308 - 150gr - Hornady InterBond 30309 </t>
  </si>
  <si>
    <t xml:space="preserve">.308 - 150gr - Hornady RN 3035         </t>
  </si>
  <si>
    <t xml:space="preserve">.308 - 150gr - Hornady BTSP 3033       </t>
  </si>
  <si>
    <t xml:space="preserve">.308 - 150gr - Hornady FMJ-BT 3037     </t>
  </si>
  <si>
    <t xml:space="preserve">.308 - 150gr - Hornady SP 3031         </t>
  </si>
  <si>
    <t>.308 - 150gr - Hornady SST InterLock 30302</t>
  </si>
  <si>
    <t xml:space="preserve">.308 - 150gr - Lapua MEGA E469         </t>
  </si>
  <si>
    <t xml:space="preserve">.308 - 150gr - Lapua LockBaseB466     </t>
  </si>
  <si>
    <t xml:space="preserve">.308 - 150gr - Norma SemiSP 67624      </t>
  </si>
  <si>
    <t xml:space="preserve">.308 - 150gr - Norma SPFN 67630        </t>
  </si>
  <si>
    <t xml:space="preserve">.308 - 150gr - Sierra FMJBT 2115      </t>
  </si>
  <si>
    <t xml:space="preserve">.308 - 150gr - Sierra HPBT MatchK 2190 </t>
  </si>
  <si>
    <t xml:space="preserve">.308 - 150gr - Sierra SP 2130          </t>
  </si>
  <si>
    <t xml:space="preserve">.308 - 150gr - Sierra SPBT 2125        </t>
  </si>
  <si>
    <t xml:space="preserve">.308 - 150gr - Sierra SPFN 30-30 2000  </t>
  </si>
  <si>
    <t xml:space="preserve">.308 - 150gr - Sierra SPRN 2135        </t>
  </si>
  <si>
    <t xml:space="preserve">.308 - 155gr - Berger VLD              </t>
  </si>
  <si>
    <t xml:space="preserve">.308 - 155gr - Berger LTB              </t>
  </si>
  <si>
    <t xml:space="preserve">.308 - 155gr - Hornady A-MAX 30312     </t>
  </si>
  <si>
    <t xml:space="preserve">.308 - 155gr - Lapua Scenar GB491      </t>
  </si>
  <si>
    <t>.308 - 155gr - Sierra HPBT Palma MK 2155</t>
  </si>
  <si>
    <t>.308 - 165gr - Federal SP  TrophyBond.</t>
  </si>
  <si>
    <t xml:space="preserve">.308 - 165gr - Hornady InterBond 30459 </t>
  </si>
  <si>
    <t xml:space="preserve">.308 - 165gr - Hornady BTSP 3045       </t>
  </si>
  <si>
    <t xml:space="preserve">.308 - 165gr - Hornady SP 3040         </t>
  </si>
  <si>
    <t>.308 - 165gr - Hornady SST InterLock 30452</t>
  </si>
  <si>
    <t xml:space="preserve">.308 - 165gr - Sierra HPBT 2140        </t>
  </si>
  <si>
    <t xml:space="preserve">.308 - 165gr - Sierra SPBT 2145        </t>
  </si>
  <si>
    <t xml:space="preserve">.308 - 167gr - Lapua Scenar GB422      </t>
  </si>
  <si>
    <t xml:space="preserve">.308 - 168gr - Berger VLD              </t>
  </si>
  <si>
    <t xml:space="preserve">.308 - 168gr - BergerL TB              </t>
  </si>
  <si>
    <t xml:space="preserve">.308 - 168gr - Hornady A-MAX 30502     </t>
  </si>
  <si>
    <t>.308 - 168gr - Hornady BTHPNatl M 30501</t>
  </si>
  <si>
    <t xml:space="preserve">.308 - 168gr - Norma Diamond 67635     </t>
  </si>
  <si>
    <t xml:space="preserve">.308 - 168gr - Sierra HPBT MatchK 2200 </t>
  </si>
  <si>
    <t xml:space="preserve">.308 - 168gr - Sierra HPBT MK 2200     </t>
  </si>
  <si>
    <t xml:space="preserve">.308 - 170gr - Hornady FP 3060         </t>
  </si>
  <si>
    <t xml:space="preserve">.308 - 170gr - Lapua FMJBT D46         </t>
  </si>
  <si>
    <t xml:space="preserve">.308 - 170gr - Lapua FMJBT D47         </t>
  </si>
  <si>
    <t xml:space="preserve">.308 - 170gr - Lapua LockBaseB476     </t>
  </si>
  <si>
    <t xml:space="preserve">.308 - 170gr - Norma SPFN 67631        </t>
  </si>
  <si>
    <t xml:space="preserve">.308 - 170gr - Sierra SPFN 30-30 2010  </t>
  </si>
  <si>
    <t xml:space="preserve">.308 - 175gr - Berger VLD              </t>
  </si>
  <si>
    <t xml:space="preserve">.308 - 175gr - Sierra HPBT MatchK 2275 </t>
  </si>
  <si>
    <t xml:space="preserve">.308 - 178gr - Hornady A-MAX 30712     </t>
  </si>
  <si>
    <t>.308 - 178gr - Hornady BTHP Match 30631</t>
  </si>
  <si>
    <t>.308 - 180gr - Federal SP  TrophyBond.</t>
  </si>
  <si>
    <t xml:space="preserve">.308 - 180gr - Hornady InterBond 30709 </t>
  </si>
  <si>
    <t xml:space="preserve">.308 - 180gr - Hornady RN 3075         </t>
  </si>
  <si>
    <t xml:space="preserve">.308 - 180gr - Hornady BTSP 3072       </t>
  </si>
  <si>
    <t xml:space="preserve">.308 - 180gr - Hornady SP 3070         </t>
  </si>
  <si>
    <t>.308 - 180gr - Hornady SST InterLock 30702</t>
  </si>
  <si>
    <t xml:space="preserve">.308 - 180gr - Lapua NaturalisN505    </t>
  </si>
  <si>
    <t xml:space="preserve">.308 - 180gr - Norma ORYX 67638        </t>
  </si>
  <si>
    <t xml:space="preserve">.308 - 180gr - Norma PlastSpitz 67628  </t>
  </si>
  <si>
    <t xml:space="preserve">.308 - 180gr - Norma VULKAN 67653      </t>
  </si>
  <si>
    <t xml:space="preserve">.308 - 180gr - Norma SemiSP 67625      </t>
  </si>
  <si>
    <t xml:space="preserve">.308 - 180gr - Norma Silverbl 67628    </t>
  </si>
  <si>
    <t xml:space="preserve">.308 - 180gr - Norma SP ALASKA 67648   </t>
  </si>
  <si>
    <t xml:space="preserve">.308 - 180gr - Sierra HP MatchK 2220   </t>
  </si>
  <si>
    <t xml:space="preserve">.308 - 180gr - Sierra SP 2150          </t>
  </si>
  <si>
    <t xml:space="preserve">.308 - 180gr - Sierra SPBT 2160        </t>
  </si>
  <si>
    <t xml:space="preserve">.308 - 180gr - Sierra SPRN 2170        </t>
  </si>
  <si>
    <t xml:space="preserve">.308 - 185gr - Berger VLD              </t>
  </si>
  <si>
    <t xml:space="preserve">.308 - 185gr - Lapua MEGA E415         </t>
  </si>
  <si>
    <t xml:space="preserve">.308 - 185gr - Lapua Mira EB423        </t>
  </si>
  <si>
    <t xml:space="preserve">.308 - 185gr - Lapua FMJBT D46         </t>
  </si>
  <si>
    <t xml:space="preserve">.308 - 185gr - Lapua FMJBT D47         </t>
  </si>
  <si>
    <t xml:space="preserve">.308 - 185gr - Lapua FOREX EX481       </t>
  </si>
  <si>
    <t xml:space="preserve">.308 - 185gr - Lapua Scenar GB432      </t>
  </si>
  <si>
    <t xml:space="preserve">.308 - 190gr - Berger VLD              </t>
  </si>
  <si>
    <t xml:space="preserve">.308 - 190gr - Hornady BTSP 3085       </t>
  </si>
  <si>
    <t xml:space="preserve">.308 - 190gr - Sierra HP MatchK 2210   </t>
  </si>
  <si>
    <t>.308 - 200gr - Federal SP  TrophyBond.</t>
  </si>
  <si>
    <t xml:space="preserve">.308 - 200gr - Lapua MEGA E401         </t>
  </si>
  <si>
    <t xml:space="preserve">.308 - 200gr - Lapua NaturalisN513    </t>
  </si>
  <si>
    <t xml:space="preserve">.308 - 200gr - Norma ORYX 67639        </t>
  </si>
  <si>
    <t xml:space="preserve">.308 - 200gr - Norma VULKAN 67654      </t>
  </si>
  <si>
    <t xml:space="preserve">.308 - 200gr - Sierra HP MatchK 2230   </t>
  </si>
  <si>
    <t xml:space="preserve">.308 - 200gr - Sierra SPBT 2165        </t>
  </si>
  <si>
    <t xml:space="preserve">.308 - 210gr - Berger VLD              </t>
  </si>
  <si>
    <t xml:space="preserve">.308 - 210gr - Sierra HP MatchK 9240   </t>
  </si>
  <si>
    <t xml:space="preserve">.308 - 220gr - Hornady RN 3090         </t>
  </si>
  <si>
    <t xml:space="preserve">.308 - 220gr - Sierra HP MatchK 2240   </t>
  </si>
  <si>
    <t xml:space="preserve">.308 - 220gr - Sierra SPRN 2180        </t>
  </si>
  <si>
    <t xml:space="preserve">.308 - 240gr - Sierra MK               </t>
  </si>
  <si>
    <t>.308 - 240gr - Sierra HPBTLR MatchK 9245</t>
  </si>
  <si>
    <t>Donnée Arme &amp; Optique</t>
  </si>
  <si>
    <t>Données Ogive</t>
  </si>
  <si>
    <t>Type Ogive</t>
  </si>
  <si>
    <t>Coef. Ballistique :</t>
  </si>
  <si>
    <t>Données Atmosphérique</t>
  </si>
  <si>
    <t>1/4 MOA</t>
  </si>
  <si>
    <t>1/8 MOA</t>
  </si>
  <si>
    <t>1 cm</t>
  </si>
  <si>
    <t>Masse Ogive :</t>
  </si>
  <si>
    <t>Valeur 1 click lunette :</t>
  </si>
  <si>
    <t>Distance Canon/lunette :</t>
  </si>
  <si>
    <t xml:space="preserve">Incrément Table : </t>
  </si>
  <si>
    <t>m</t>
  </si>
  <si>
    <t>grains</t>
  </si>
  <si>
    <t>°C</t>
  </si>
  <si>
    <t>Berger</t>
  </si>
  <si>
    <t>.308 - 170gr - PrviPartizan FSP    B-200</t>
  </si>
  <si>
    <t>.308 - 174gr - PrviPartizan FMJBT B-345</t>
  </si>
  <si>
    <t>.308 - 174gr - PrviPartizan SP  B-428</t>
  </si>
  <si>
    <t>.308 - 175gr - PrviPartizan FMJBT B-366</t>
  </si>
  <si>
    <t>.308 - 145gr - PrviPartizan FMJBT B-009</t>
  </si>
  <si>
    <t>.308 - 139gr - PrviPartizan FMJ  B-007</t>
  </si>
  <si>
    <t>.308 - 123gr - PrviPartizan FMJ   B-460</t>
  </si>
  <si>
    <t>.284 - 174gr - PrviPartizan PSP BT  B-404</t>
  </si>
  <si>
    <t>.284 - 174gr - PrviPartizan FMJ BT  B-127</t>
  </si>
  <si>
    <t>.284 - 174gr - PrviPartizan SP  B-115</t>
  </si>
  <si>
    <t>.284 - 160gr - PrviPartizan PSP BT  B-403</t>
  </si>
  <si>
    <t>.284 - 158gr - PrviPartizan Grom    B-105</t>
  </si>
  <si>
    <t>.284 - 150gr - PrviPartizan HP BT  B-405</t>
  </si>
  <si>
    <t>.284 - 145gr - PrviPartizan SP  B-123</t>
  </si>
  <si>
    <t>.284 - 140gr - PrviPartizan PSP BT  B-400</t>
  </si>
  <si>
    <t>.284 - 120gr - PrviPartizan HP B-401</t>
  </si>
  <si>
    <t>Zéro =</t>
  </si>
  <si>
    <t>****************************</t>
  </si>
  <si>
    <t>TABULAR</t>
  </si>
  <si>
    <t>DATA</t>
  </si>
  <si>
    <t>*************************************</t>
  </si>
  <si>
    <t>######################################</t>
  </si>
  <si>
    <t xml:space="preserve">CHANGEABLE </t>
  </si>
  <si>
    <t>##################</t>
  </si>
  <si>
    <t>SULOOKUP</t>
  </si>
  <si>
    <t>1\SU</t>
  </si>
  <si>
    <t>VB</t>
  </si>
  <si>
    <t>AS</t>
  </si>
  <si>
    <t>BS</t>
  </si>
  <si>
    <t>CS</t>
  </si>
  <si>
    <t>AT</t>
  </si>
  <si>
    <t>BT</t>
  </si>
  <si>
    <t>CT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</si>
</sst>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dd\-mmm\-yy_)"/>
    <numFmt numFmtId="174" formatCode="0_)"/>
    <numFmt numFmtId="175" formatCode="0.0_)"/>
    <numFmt numFmtId="176" formatCode="0.000_)"/>
    <numFmt numFmtId="177" formatCode="0.0"/>
    <numFmt numFmtId="178" formatCode="0.000"/>
    <numFmt numFmtId="179" formatCode="0.0;[Red]0.0"/>
    <numFmt numFmtId="180" formatCode="0.000000000000000"/>
    <numFmt numFmtId="181" formatCode="0.000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0#"/>
    <numFmt numFmtId="190" formatCode="0\.0000"/>
    <numFmt numFmtId="191" formatCode="#&quot; &quot;?/8"/>
  </numFmts>
  <fonts count="6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22"/>
      <name val="Courier"/>
      <family val="0"/>
    </font>
    <font>
      <b/>
      <sz val="10"/>
      <color indexed="22"/>
      <name val="Tahoma"/>
      <family val="2"/>
    </font>
    <font>
      <b/>
      <i/>
      <sz val="10"/>
      <color indexed="9"/>
      <name val="Arial"/>
      <family val="2"/>
    </font>
    <font>
      <sz val="8"/>
      <color indexed="18"/>
      <name val="Arial"/>
      <family val="2"/>
    </font>
    <font>
      <sz val="8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color indexed="22"/>
      <name val="Arial"/>
      <family val="2"/>
    </font>
    <font>
      <b/>
      <sz val="9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bscript"/>
      <sz val="14"/>
      <name val="Arial"/>
      <family val="2"/>
    </font>
    <font>
      <sz val="14"/>
      <name val="Courier"/>
      <family val="0"/>
    </font>
    <font>
      <sz val="14"/>
      <name val="Arial"/>
      <family val="2"/>
    </font>
    <font>
      <b/>
      <i/>
      <sz val="14"/>
      <color indexed="9"/>
      <name val="Arial"/>
      <family val="2"/>
    </font>
    <font>
      <b/>
      <sz val="11"/>
      <name val="Arial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b/>
      <sz val="14"/>
      <color indexed="22"/>
      <name val="Arial"/>
      <family val="2"/>
    </font>
    <font>
      <sz val="14"/>
      <color indexed="22"/>
      <name val="Arial"/>
      <family val="2"/>
    </font>
    <font>
      <sz val="14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0" fillId="28" borderId="3" applyNumberFormat="0" applyFont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7" fillId="31" borderId="0" applyNumberFormat="0" applyBorder="0" applyAlignment="0" applyProtection="0"/>
    <xf numFmtId="9" fontId="4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7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3" borderId="9" applyNumberFormat="0" applyAlignment="0" applyProtection="0"/>
  </cellStyleXfs>
  <cellXfs count="185">
    <xf numFmtId="0" fontId="0" fillId="2" borderId="0" xfId="0" applyAlignment="1">
      <alignment/>
    </xf>
    <xf numFmtId="0" fontId="9" fillId="2" borderId="0" xfId="0" applyFont="1" applyAlignment="1">
      <alignment/>
    </xf>
    <xf numFmtId="178" fontId="10" fillId="34" borderId="10" xfId="0" applyNumberFormat="1" applyFont="1" applyFill="1" applyBorder="1" applyAlignment="1" applyProtection="1">
      <alignment horizontal="right"/>
      <protection locked="0"/>
    </xf>
    <xf numFmtId="0" fontId="8" fillId="35" borderId="11" xfId="0" applyFont="1" applyFill="1" applyBorder="1" applyAlignment="1">
      <alignment horizontal="right"/>
    </xf>
    <xf numFmtId="0" fontId="11" fillId="2" borderId="0" xfId="0" applyFont="1" applyFill="1" applyBorder="1" applyAlignment="1" applyProtection="1">
      <alignment horizontal="center"/>
      <protection hidden="1"/>
    </xf>
    <xf numFmtId="1" fontId="10" fillId="34" borderId="10" xfId="0" applyNumberFormat="1" applyFont="1" applyFill="1" applyBorder="1" applyAlignment="1" applyProtection="1">
      <alignment horizontal="right"/>
      <protection locked="0"/>
    </xf>
    <xf numFmtId="2" fontId="10" fillId="34" borderId="10" xfId="0" applyNumberFormat="1" applyFont="1" applyFill="1" applyBorder="1" applyAlignment="1" applyProtection="1">
      <alignment horizontal="right"/>
      <protection locked="0"/>
    </xf>
    <xf numFmtId="1" fontId="10" fillId="34" borderId="12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0" fontId="0" fillId="2" borderId="0" xfId="0" applyAlignment="1" applyProtection="1">
      <alignment/>
      <protection hidden="1"/>
    </xf>
    <xf numFmtId="1" fontId="17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177" fontId="18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1" fontId="5" fillId="2" borderId="0" xfId="0" applyNumberFormat="1" applyFont="1" applyAlignment="1" applyProtection="1">
      <alignment/>
      <protection hidden="1"/>
    </xf>
    <xf numFmtId="1" fontId="10" fillId="34" borderId="13" xfId="0" applyNumberFormat="1" applyFont="1" applyFill="1" applyBorder="1" applyAlignment="1" applyProtection="1">
      <alignment horizontal="right"/>
      <protection locked="0"/>
    </xf>
    <xf numFmtId="1" fontId="10" fillId="34" borderId="14" xfId="0" applyNumberFormat="1" applyFont="1" applyFill="1" applyBorder="1" applyAlignment="1" applyProtection="1">
      <alignment horizontal="right"/>
      <protection locked="0"/>
    </xf>
    <xf numFmtId="178" fontId="5" fillId="2" borderId="0" xfId="0" applyNumberFormat="1" applyFont="1" applyAlignment="1" applyProtection="1">
      <alignment/>
      <protection hidden="1"/>
    </xf>
    <xf numFmtId="2" fontId="5" fillId="2" borderId="0" xfId="0" applyNumberFormat="1" applyFont="1" applyAlignment="1" applyProtection="1">
      <alignment/>
      <protection hidden="1"/>
    </xf>
    <xf numFmtId="0" fontId="11" fillId="36" borderId="15" xfId="0" applyFont="1" applyFill="1" applyBorder="1" applyAlignment="1" applyProtection="1">
      <alignment/>
      <protection hidden="1"/>
    </xf>
    <xf numFmtId="0" fontId="1" fillId="35" borderId="16" xfId="0" applyFont="1" applyFill="1" applyBorder="1" applyAlignment="1" applyProtection="1">
      <alignment/>
      <protection hidden="1"/>
    </xf>
    <xf numFmtId="0" fontId="11" fillId="36" borderId="17" xfId="0" applyFont="1" applyFill="1" applyBorder="1" applyAlignment="1" applyProtection="1">
      <alignment horizontal="left"/>
      <protection hidden="1"/>
    </xf>
    <xf numFmtId="0" fontId="11" fillId="36" borderId="17" xfId="0" applyFont="1" applyFill="1" applyBorder="1" applyAlignment="1" applyProtection="1">
      <alignment/>
      <protection hidden="1"/>
    </xf>
    <xf numFmtId="0" fontId="11" fillId="36" borderId="18" xfId="0" applyFont="1" applyFill="1" applyBorder="1" applyAlignment="1" applyProtection="1">
      <alignment horizontal="left"/>
      <protection hidden="1"/>
    </xf>
    <xf numFmtId="0" fontId="11" fillId="36" borderId="19" xfId="0" applyFont="1" applyFill="1" applyBorder="1" applyAlignment="1" applyProtection="1">
      <alignment horizontal="left"/>
      <protection hidden="1"/>
    </xf>
    <xf numFmtId="0" fontId="11" fillId="35" borderId="20" xfId="0" applyFont="1" applyFill="1" applyBorder="1" applyAlignment="1" applyProtection="1">
      <alignment horizontal="center"/>
      <protection hidden="1"/>
    </xf>
    <xf numFmtId="0" fontId="11" fillId="35" borderId="21" xfId="0" applyFont="1" applyFill="1" applyBorder="1" applyAlignment="1" applyProtection="1">
      <alignment horizontal="center"/>
      <protection hidden="1"/>
    </xf>
    <xf numFmtId="0" fontId="11" fillId="35" borderId="22" xfId="0" applyFont="1" applyFill="1" applyBorder="1" applyAlignment="1" applyProtection="1">
      <alignment horizontal="center"/>
      <protection hidden="1"/>
    </xf>
    <xf numFmtId="0" fontId="11" fillId="35" borderId="18" xfId="0" applyFont="1" applyFill="1" applyBorder="1" applyAlignment="1" applyProtection="1">
      <alignment horizontal="center"/>
      <protection hidden="1"/>
    </xf>
    <xf numFmtId="0" fontId="11" fillId="35" borderId="23" xfId="0" applyFont="1" applyFill="1" applyBorder="1" applyAlignment="1" applyProtection="1">
      <alignment horizontal="center"/>
      <protection hidden="1"/>
    </xf>
    <xf numFmtId="0" fontId="11" fillId="35" borderId="24" xfId="0" applyFont="1" applyFill="1" applyBorder="1" applyAlignment="1" applyProtection="1">
      <alignment horizontal="center"/>
      <protection hidden="1"/>
    </xf>
    <xf numFmtId="0" fontId="11" fillId="35" borderId="25" xfId="0" applyFont="1" applyFill="1" applyBorder="1" applyAlignment="1" applyProtection="1">
      <alignment horizontal="center"/>
      <protection hidden="1"/>
    </xf>
    <xf numFmtId="0" fontId="11" fillId="35" borderId="26" xfId="0" applyFont="1" applyFill="1" applyBorder="1" applyAlignment="1" applyProtection="1">
      <alignment horizontal="center"/>
      <protection hidden="1"/>
    </xf>
    <xf numFmtId="0" fontId="11" fillId="35" borderId="12" xfId="0" applyFont="1" applyFill="1" applyBorder="1" applyAlignment="1" applyProtection="1">
      <alignment horizontal="center"/>
      <protection hidden="1"/>
    </xf>
    <xf numFmtId="0" fontId="11" fillId="35" borderId="27" xfId="0" applyFont="1" applyFill="1" applyBorder="1" applyAlignment="1" applyProtection="1">
      <alignment horizontal="center"/>
      <protection hidden="1"/>
    </xf>
    <xf numFmtId="0" fontId="11" fillId="35" borderId="28" xfId="0" applyFont="1" applyFill="1" applyBorder="1" applyAlignment="1" applyProtection="1">
      <alignment horizontal="center"/>
      <protection hidden="1"/>
    </xf>
    <xf numFmtId="0" fontId="11" fillId="35" borderId="29" xfId="0" applyFont="1" applyFill="1" applyBorder="1" applyAlignment="1" applyProtection="1">
      <alignment horizontal="center"/>
      <protection hidden="1"/>
    </xf>
    <xf numFmtId="0" fontId="11" fillId="35" borderId="19" xfId="0" applyFont="1" applyFill="1" applyBorder="1" applyAlignment="1" applyProtection="1">
      <alignment horizontal="center"/>
      <protection hidden="1"/>
    </xf>
    <xf numFmtId="0" fontId="11" fillId="35" borderId="14" xfId="0" applyFont="1" applyFill="1" applyBorder="1" applyAlignment="1" applyProtection="1">
      <alignment horizontal="center"/>
      <protection hidden="1"/>
    </xf>
    <xf numFmtId="1" fontId="7" fillId="35" borderId="30" xfId="0" applyNumberFormat="1" applyFont="1" applyFill="1" applyBorder="1" applyAlignment="1" applyProtection="1">
      <alignment horizontal="center"/>
      <protection hidden="1"/>
    </xf>
    <xf numFmtId="174" fontId="11" fillId="2" borderId="31" xfId="0" applyNumberFormat="1" applyFont="1" applyFill="1" applyBorder="1" applyAlignment="1" applyProtection="1">
      <alignment/>
      <protection hidden="1"/>
    </xf>
    <xf numFmtId="0" fontId="10" fillId="2" borderId="32" xfId="0" applyFont="1" applyFill="1" applyBorder="1" applyAlignment="1" applyProtection="1">
      <alignment horizontal="center"/>
      <protection hidden="1"/>
    </xf>
    <xf numFmtId="175" fontId="10" fillId="2" borderId="33" xfId="0" applyNumberFormat="1" applyFont="1" applyFill="1" applyBorder="1" applyAlignment="1" applyProtection="1">
      <alignment horizontal="center"/>
      <protection hidden="1"/>
    </xf>
    <xf numFmtId="177" fontId="10" fillId="2" borderId="34" xfId="0" applyNumberFormat="1" applyFont="1" applyFill="1" applyBorder="1" applyAlignment="1" applyProtection="1">
      <alignment horizontal="center"/>
      <protection hidden="1"/>
    </xf>
    <xf numFmtId="177" fontId="10" fillId="2" borderId="35" xfId="0" applyNumberFormat="1" applyFont="1" applyFill="1" applyBorder="1" applyAlignment="1" applyProtection="1">
      <alignment horizontal="center"/>
      <protection hidden="1"/>
    </xf>
    <xf numFmtId="178" fontId="10" fillId="2" borderId="31" xfId="0" applyNumberFormat="1" applyFont="1" applyFill="1" applyBorder="1" applyAlignment="1" applyProtection="1">
      <alignment horizontal="center"/>
      <protection hidden="1"/>
    </xf>
    <xf numFmtId="1" fontId="10" fillId="2" borderId="36" xfId="0" applyNumberFormat="1" applyFont="1" applyFill="1" applyBorder="1" applyAlignment="1" applyProtection="1">
      <alignment horizontal="center"/>
      <protection hidden="1"/>
    </xf>
    <xf numFmtId="174" fontId="11" fillId="36" borderId="10" xfId="0" applyNumberFormat="1" applyFont="1" applyFill="1" applyBorder="1" applyAlignment="1" applyProtection="1">
      <alignment/>
      <protection hidden="1"/>
    </xf>
    <xf numFmtId="0" fontId="10" fillId="36" borderId="37" xfId="0" applyFont="1" applyFill="1" applyBorder="1" applyAlignment="1" applyProtection="1">
      <alignment horizontal="center"/>
      <protection hidden="1"/>
    </xf>
    <xf numFmtId="175" fontId="10" fillId="36" borderId="38" xfId="0" applyNumberFormat="1" applyFont="1" applyFill="1" applyBorder="1" applyAlignment="1" applyProtection="1">
      <alignment horizontal="center"/>
      <protection hidden="1"/>
    </xf>
    <xf numFmtId="177" fontId="10" fillId="36" borderId="39" xfId="0" applyNumberFormat="1" applyFont="1" applyFill="1" applyBorder="1" applyAlignment="1" applyProtection="1">
      <alignment horizontal="center"/>
      <protection hidden="1"/>
    </xf>
    <xf numFmtId="177" fontId="10" fillId="36" borderId="40" xfId="0" applyNumberFormat="1" applyFont="1" applyFill="1" applyBorder="1" applyAlignment="1" applyProtection="1">
      <alignment horizontal="center"/>
      <protection hidden="1"/>
    </xf>
    <xf numFmtId="178" fontId="10" fillId="36" borderId="10" xfId="0" applyNumberFormat="1" applyFont="1" applyFill="1" applyBorder="1" applyAlignment="1" applyProtection="1">
      <alignment horizontal="center"/>
      <protection hidden="1"/>
    </xf>
    <xf numFmtId="1" fontId="10" fillId="36" borderId="41" xfId="0" applyNumberFormat="1" applyFont="1" applyFill="1" applyBorder="1" applyAlignment="1" applyProtection="1">
      <alignment horizontal="center"/>
      <protection hidden="1"/>
    </xf>
    <xf numFmtId="174" fontId="11" fillId="2" borderId="10" xfId="0" applyNumberFormat="1" applyFont="1" applyFill="1" applyBorder="1" applyAlignment="1" applyProtection="1">
      <alignment/>
      <protection hidden="1"/>
    </xf>
    <xf numFmtId="0" fontId="10" fillId="2" borderId="37" xfId="0" applyFont="1" applyFill="1" applyBorder="1" applyAlignment="1" applyProtection="1">
      <alignment horizontal="center"/>
      <protection hidden="1"/>
    </xf>
    <xf numFmtId="175" fontId="10" fillId="2" borderId="38" xfId="0" applyNumberFormat="1" applyFont="1" applyFill="1" applyBorder="1" applyAlignment="1" applyProtection="1">
      <alignment horizontal="center"/>
      <protection hidden="1"/>
    </xf>
    <xf numFmtId="177" fontId="10" fillId="2" borderId="39" xfId="0" applyNumberFormat="1" applyFont="1" applyFill="1" applyBorder="1" applyAlignment="1" applyProtection="1">
      <alignment horizontal="center"/>
      <protection hidden="1"/>
    </xf>
    <xf numFmtId="177" fontId="10" fillId="2" borderId="40" xfId="0" applyNumberFormat="1" applyFont="1" applyFill="1" applyBorder="1" applyAlignment="1" applyProtection="1">
      <alignment horizontal="center"/>
      <protection hidden="1"/>
    </xf>
    <xf numFmtId="178" fontId="10" fillId="2" borderId="10" xfId="0" applyNumberFormat="1" applyFont="1" applyFill="1" applyBorder="1" applyAlignment="1" applyProtection="1">
      <alignment horizontal="center"/>
      <protection hidden="1"/>
    </xf>
    <xf numFmtId="1" fontId="10" fillId="2" borderId="41" xfId="0" applyNumberFormat="1" applyFont="1" applyFill="1" applyBorder="1" applyAlignment="1" applyProtection="1">
      <alignment horizontal="center"/>
      <protection hidden="1"/>
    </xf>
    <xf numFmtId="177" fontId="10" fillId="36" borderId="41" xfId="0" applyNumberFormat="1" applyFont="1" applyFill="1" applyBorder="1" applyAlignment="1" applyProtection="1">
      <alignment horizontal="center"/>
      <protection hidden="1"/>
    </xf>
    <xf numFmtId="177" fontId="10" fillId="2" borderId="41" xfId="0" applyNumberFormat="1" applyFont="1" applyFill="1" applyBorder="1" applyAlignment="1" applyProtection="1">
      <alignment horizontal="center"/>
      <protection hidden="1"/>
    </xf>
    <xf numFmtId="174" fontId="11" fillId="2" borderId="12" xfId="0" applyNumberFormat="1" applyFont="1" applyFill="1" applyBorder="1" applyAlignment="1" applyProtection="1">
      <alignment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175" fontId="10" fillId="2" borderId="19" xfId="0" applyNumberFormat="1" applyFont="1" applyFill="1" applyBorder="1" applyAlignment="1" applyProtection="1">
      <alignment horizontal="center"/>
      <protection hidden="1"/>
    </xf>
    <xf numFmtId="177" fontId="10" fillId="2" borderId="14" xfId="0" applyNumberFormat="1" applyFont="1" applyFill="1" applyBorder="1" applyAlignment="1" applyProtection="1">
      <alignment horizontal="center"/>
      <protection hidden="1"/>
    </xf>
    <xf numFmtId="178" fontId="10" fillId="2" borderId="1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Alignment="1" applyProtection="1">
      <alignment horizontal="left"/>
      <protection hidden="1"/>
    </xf>
    <xf numFmtId="177" fontId="5" fillId="2" borderId="0" xfId="0" applyNumberFormat="1" applyFont="1" applyAlignment="1" applyProtection="1">
      <alignment horizontal="left"/>
      <protection hidden="1"/>
    </xf>
    <xf numFmtId="0" fontId="5" fillId="2" borderId="0" xfId="0" applyFont="1" applyAlignment="1" applyProtection="1">
      <alignment horizontal="left"/>
      <protection hidden="1"/>
    </xf>
    <xf numFmtId="1" fontId="11" fillId="2" borderId="0" xfId="0" applyNumberFormat="1" applyFont="1" applyFill="1" applyBorder="1" applyAlignment="1" applyProtection="1">
      <alignment horizontal="center"/>
      <protection hidden="1"/>
    </xf>
    <xf numFmtId="177" fontId="16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" fontId="10" fillId="34" borderId="24" xfId="0" applyNumberFormat="1" applyFont="1" applyFill="1" applyBorder="1" applyAlignment="1" applyProtection="1">
      <alignment horizontal="right"/>
      <protection locked="0"/>
    </xf>
    <xf numFmtId="177" fontId="10" fillId="2" borderId="42" xfId="0" applyNumberFormat="1" applyFont="1" applyFill="1" applyBorder="1" applyAlignment="1" applyProtection="1">
      <alignment horizontal="center"/>
      <protection hidden="1"/>
    </xf>
    <xf numFmtId="177" fontId="10" fillId="36" borderId="42" xfId="0" applyNumberFormat="1" applyFont="1" applyFill="1" applyBorder="1" applyAlignment="1" applyProtection="1">
      <alignment horizontal="center"/>
      <protection hidden="1"/>
    </xf>
    <xf numFmtId="177" fontId="10" fillId="2" borderId="36" xfId="0" applyNumberFormat="1" applyFont="1" applyFill="1" applyBorder="1" applyAlignment="1" applyProtection="1">
      <alignment horizontal="center"/>
      <protection hidden="1"/>
    </xf>
    <xf numFmtId="177" fontId="10" fillId="2" borderId="32" xfId="0" applyNumberFormat="1" applyFont="1" applyFill="1" applyBorder="1" applyAlignment="1" applyProtection="1">
      <alignment horizontal="center"/>
      <protection hidden="1"/>
    </xf>
    <xf numFmtId="177" fontId="10" fillId="36" borderId="32" xfId="0" applyNumberFormat="1" applyFont="1" applyFill="1" applyBorder="1" applyAlignment="1" applyProtection="1">
      <alignment horizontal="center"/>
      <protection hidden="1"/>
    </xf>
    <xf numFmtId="175" fontId="11" fillId="2" borderId="42" xfId="0" applyNumberFormat="1" applyFont="1" applyFill="1" applyBorder="1" applyAlignment="1" applyProtection="1">
      <alignment horizontal="center"/>
      <protection hidden="1"/>
    </xf>
    <xf numFmtId="175" fontId="11" fillId="36" borderId="42" xfId="0" applyNumberFormat="1" applyFont="1" applyFill="1" applyBorder="1" applyAlignment="1" applyProtection="1">
      <alignment horizontal="center"/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10" fillId="36" borderId="39" xfId="0" applyFont="1" applyFill="1" applyBorder="1" applyAlignment="1" applyProtection="1">
      <alignment horizontal="center"/>
      <protection hidden="1"/>
    </xf>
    <xf numFmtId="0" fontId="10" fillId="2" borderId="39" xfId="0" applyFont="1" applyFill="1" applyBorder="1" applyAlignment="1" applyProtection="1">
      <alignment horizontal="center"/>
      <protection hidden="1"/>
    </xf>
    <xf numFmtId="0" fontId="10" fillId="2" borderId="28" xfId="0" applyFont="1" applyFill="1" applyBorder="1" applyAlignment="1" applyProtection="1">
      <alignment horizontal="center"/>
      <protection hidden="1"/>
    </xf>
    <xf numFmtId="175" fontId="10" fillId="2" borderId="43" xfId="0" applyNumberFormat="1" applyFont="1" applyFill="1" applyBorder="1" applyAlignment="1" applyProtection="1">
      <alignment horizontal="center"/>
      <protection hidden="1"/>
    </xf>
    <xf numFmtId="175" fontId="10" fillId="36" borderId="44" xfId="0" applyNumberFormat="1" applyFont="1" applyFill="1" applyBorder="1" applyAlignment="1" applyProtection="1">
      <alignment horizontal="center"/>
      <protection hidden="1"/>
    </xf>
    <xf numFmtId="175" fontId="10" fillId="2" borderId="44" xfId="0" applyNumberFormat="1" applyFont="1" applyFill="1" applyBorder="1" applyAlignment="1" applyProtection="1">
      <alignment horizontal="center"/>
      <protection hidden="1"/>
    </xf>
    <xf numFmtId="175" fontId="10" fillId="2" borderId="45" xfId="0" applyNumberFormat="1" applyFont="1" applyFill="1" applyBorder="1" applyAlignment="1" applyProtection="1">
      <alignment horizontal="center"/>
      <protection hidden="1"/>
    </xf>
    <xf numFmtId="0" fontId="11" fillId="35" borderId="46" xfId="0" applyFont="1" applyFill="1" applyBorder="1" applyAlignment="1" applyProtection="1">
      <alignment horizontal="center"/>
      <protection hidden="1"/>
    </xf>
    <xf numFmtId="172" fontId="11" fillId="35" borderId="45" xfId="0" applyNumberFormat="1" applyFont="1" applyFill="1" applyBorder="1" applyAlignment="1" applyProtection="1">
      <alignment horizontal="center"/>
      <protection hidden="1"/>
    </xf>
    <xf numFmtId="175" fontId="11" fillId="2" borderId="32" xfId="0" applyNumberFormat="1" applyFont="1" applyFill="1" applyBorder="1" applyAlignment="1" applyProtection="1">
      <alignment horizontal="center"/>
      <protection hidden="1"/>
    </xf>
    <xf numFmtId="175" fontId="11" fillId="36" borderId="32" xfId="0" applyNumberFormat="1" applyFont="1" applyFill="1" applyBorder="1" applyAlignment="1" applyProtection="1">
      <alignment horizontal="center"/>
      <protection hidden="1"/>
    </xf>
    <xf numFmtId="175" fontId="10" fillId="2" borderId="18" xfId="0" applyNumberFormat="1" applyFont="1" applyFill="1" applyBorder="1" applyAlignment="1" applyProtection="1">
      <alignment horizontal="center"/>
      <protection hidden="1"/>
    </xf>
    <xf numFmtId="175" fontId="10" fillId="36" borderId="33" xfId="0" applyNumberFormat="1" applyFont="1" applyFill="1" applyBorder="1" applyAlignment="1" applyProtection="1">
      <alignment horizontal="center"/>
      <protection hidden="1"/>
    </xf>
    <xf numFmtId="174" fontId="11" fillId="35" borderId="47" xfId="0" applyNumberFormat="1" applyFont="1" applyFill="1" applyBorder="1" applyAlignment="1" applyProtection="1">
      <alignment horizontal="center"/>
      <protection hidden="1"/>
    </xf>
    <xf numFmtId="1" fontId="7" fillId="35" borderId="48" xfId="0" applyNumberFormat="1" applyFont="1" applyFill="1" applyBorder="1" applyAlignment="1" applyProtection="1">
      <alignment horizontal="center"/>
      <protection hidden="1" locked="0"/>
    </xf>
    <xf numFmtId="0" fontId="11" fillId="35" borderId="46" xfId="0" applyFont="1" applyFill="1" applyBorder="1" applyAlignment="1" applyProtection="1">
      <alignment horizontal="left"/>
      <protection hidden="1"/>
    </xf>
    <xf numFmtId="0" fontId="11" fillId="35" borderId="44" xfId="0" applyFont="1" applyFill="1" applyBorder="1" applyAlignment="1" applyProtection="1">
      <alignment horizontal="left"/>
      <protection hidden="1"/>
    </xf>
    <xf numFmtId="1" fontId="7" fillId="35" borderId="48" xfId="0" applyNumberFormat="1" applyFont="1" applyFill="1" applyBorder="1" applyAlignment="1" applyProtection="1">
      <alignment horizontal="center"/>
      <protection hidden="1"/>
    </xf>
    <xf numFmtId="1" fontId="7" fillId="35" borderId="49" xfId="0" applyNumberFormat="1" applyFont="1" applyFill="1" applyBorder="1" applyAlignment="1" applyProtection="1">
      <alignment horizontal="center"/>
      <protection hidden="1"/>
    </xf>
    <xf numFmtId="0" fontId="11" fillId="35" borderId="50" xfId="0" applyFont="1" applyFill="1" applyBorder="1" applyAlignment="1">
      <alignment/>
    </xf>
    <xf numFmtId="0" fontId="15" fillId="35" borderId="17" xfId="0" applyFont="1" applyFill="1" applyBorder="1" applyAlignment="1">
      <alignment horizontal="righ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/>
    </xf>
    <xf numFmtId="0" fontId="15" fillId="35" borderId="23" xfId="0" applyFont="1" applyFill="1" applyBorder="1" applyAlignment="1">
      <alignment horizontal="right" vertical="center"/>
    </xf>
    <xf numFmtId="0" fontId="15" fillId="35" borderId="30" xfId="0" applyFont="1" applyFill="1" applyBorder="1" applyAlignment="1">
      <alignment horizontal="center" vertical="center"/>
    </xf>
    <xf numFmtId="0" fontId="15" fillId="35" borderId="30" xfId="0" applyFont="1" applyFill="1" applyBorder="1" applyAlignment="1">
      <alignment vertical="center"/>
    </xf>
    <xf numFmtId="1" fontId="15" fillId="35" borderId="30" xfId="0" applyNumberFormat="1" applyFont="1" applyFill="1" applyBorder="1" applyAlignment="1">
      <alignment horizontal="right" vertical="center"/>
    </xf>
    <xf numFmtId="0" fontId="15" fillId="35" borderId="50" xfId="0" applyFont="1" applyFill="1" applyBorder="1" applyAlignment="1">
      <alignment horizontal="right" vertical="center" indent="1"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52" xfId="0" applyFont="1" applyFill="1" applyBorder="1" applyAlignment="1">
      <alignment horizontal="center" vertical="center" wrapText="1"/>
    </xf>
    <xf numFmtId="0" fontId="22" fillId="2" borderId="0" xfId="0" applyFont="1" applyAlignment="1">
      <alignment/>
    </xf>
    <xf numFmtId="0" fontId="4" fillId="2" borderId="0" xfId="0" applyFont="1" applyFill="1" applyAlignment="1">
      <alignment/>
    </xf>
    <xf numFmtId="0" fontId="4" fillId="35" borderId="3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1" fontId="15" fillId="2" borderId="31" xfId="0" applyNumberFormat="1" applyFont="1" applyFill="1" applyBorder="1" applyAlignment="1" applyProtection="1">
      <alignment horizontal="center" vertical="center"/>
      <protection hidden="1"/>
    </xf>
    <xf numFmtId="177" fontId="23" fillId="2" borderId="18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Alignment="1">
      <alignment/>
    </xf>
    <xf numFmtId="191" fontId="23" fillId="2" borderId="48" xfId="0" applyNumberFormat="1" applyFont="1" applyBorder="1" applyAlignment="1">
      <alignment horizontal="center" vertical="center"/>
    </xf>
    <xf numFmtId="177" fontId="23" fillId="2" borderId="38" xfId="0" applyNumberFormat="1" applyFont="1" applyFill="1" applyBorder="1" applyAlignment="1" applyProtection="1">
      <alignment horizontal="center" vertical="center"/>
      <protection hidden="1"/>
    </xf>
    <xf numFmtId="191" fontId="23" fillId="2" borderId="49" xfId="0" applyNumberFormat="1" applyFont="1" applyBorder="1" applyAlignment="1">
      <alignment horizontal="center" vertical="center"/>
    </xf>
    <xf numFmtId="1" fontId="23" fillId="2" borderId="46" xfId="0" applyNumberFormat="1" applyFont="1" applyBorder="1" applyAlignment="1">
      <alignment horizontal="center" vertical="center"/>
    </xf>
    <xf numFmtId="1" fontId="23" fillId="2" borderId="44" xfId="0" applyNumberFormat="1" applyFont="1" applyBorder="1" applyAlignment="1">
      <alignment horizontal="center" vertical="center"/>
    </xf>
    <xf numFmtId="2" fontId="23" fillId="2" borderId="24" xfId="0" applyNumberFormat="1" applyFont="1" applyFill="1" applyBorder="1" applyAlignment="1" applyProtection="1">
      <alignment horizontal="center" vertical="center"/>
      <protection hidden="1"/>
    </xf>
    <xf numFmtId="2" fontId="23" fillId="2" borderId="10" xfId="0" applyNumberFormat="1" applyFont="1" applyFill="1" applyBorder="1" applyAlignment="1" applyProtection="1">
      <alignment horizontal="center" vertical="center"/>
      <protection hidden="1"/>
    </xf>
    <xf numFmtId="0" fontId="15" fillId="35" borderId="0" xfId="0" applyFont="1" applyFill="1" applyBorder="1" applyAlignment="1" applyProtection="1">
      <alignment horizontal="center"/>
      <protection hidden="1"/>
    </xf>
    <xf numFmtId="172" fontId="15" fillId="35" borderId="0" xfId="0" applyNumberFormat="1" applyFont="1" applyFill="1" applyBorder="1" applyAlignment="1" applyProtection="1">
      <alignment horizontal="center"/>
      <protection hidden="1"/>
    </xf>
    <xf numFmtId="0" fontId="25" fillId="2" borderId="0" xfId="0" applyFont="1" applyAlignment="1">
      <alignment/>
    </xf>
    <xf numFmtId="0" fontId="4" fillId="2" borderId="0" xfId="0" applyFont="1" applyAlignment="1">
      <alignment horizontal="right"/>
    </xf>
    <xf numFmtId="0" fontId="4" fillId="2" borderId="0" xfId="0" applyFont="1" applyAlignment="1">
      <alignment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1" fontId="24" fillId="35" borderId="0" xfId="0" applyNumberFormat="1" applyFont="1" applyFill="1" applyBorder="1" applyAlignment="1" applyProtection="1">
      <alignment horizontal="center"/>
      <protection hidden="1" locked="0"/>
    </xf>
    <xf numFmtId="1" fontId="28" fillId="2" borderId="53" xfId="0" applyNumberFormat="1" applyFont="1" applyFill="1" applyBorder="1" applyAlignment="1" applyProtection="1">
      <alignment horizontal="center" vertical="center"/>
      <protection hidden="1"/>
    </xf>
    <xf numFmtId="1" fontId="29" fillId="2" borderId="53" xfId="0" applyNumberFormat="1" applyFont="1" applyBorder="1" applyAlignment="1">
      <alignment horizontal="center" vertical="center"/>
    </xf>
    <xf numFmtId="2" fontId="29" fillId="2" borderId="53" xfId="0" applyNumberFormat="1" applyFont="1" applyFill="1" applyBorder="1" applyAlignment="1" applyProtection="1">
      <alignment horizontal="center" vertical="center"/>
      <protection hidden="1"/>
    </xf>
    <xf numFmtId="177" fontId="29" fillId="2" borderId="53" xfId="0" applyNumberFormat="1" applyFont="1" applyFill="1" applyBorder="1" applyAlignment="1" applyProtection="1">
      <alignment horizontal="center" vertical="center"/>
      <protection hidden="1"/>
    </xf>
    <xf numFmtId="191" fontId="29" fillId="2" borderId="53" xfId="0" applyNumberFormat="1" applyFont="1" applyBorder="1" applyAlignment="1">
      <alignment horizontal="center" vertical="center"/>
    </xf>
    <xf numFmtId="1" fontId="28" fillId="36" borderId="53" xfId="0" applyNumberFormat="1" applyFont="1" applyFill="1" applyBorder="1" applyAlignment="1" applyProtection="1">
      <alignment horizontal="center" vertical="center"/>
      <protection hidden="1"/>
    </xf>
    <xf numFmtId="191" fontId="28" fillId="2" borderId="53" xfId="0" applyNumberFormat="1" applyFont="1" applyFill="1" applyBorder="1" applyAlignment="1" applyProtection="1">
      <alignment horizontal="center" vertical="center"/>
      <protection hidden="1"/>
    </xf>
    <xf numFmtId="1" fontId="28" fillId="2" borderId="0" xfId="0" applyNumberFormat="1" applyFont="1" applyFill="1" applyBorder="1" applyAlignment="1" applyProtection="1">
      <alignment horizontal="center" vertical="center"/>
      <protection hidden="1"/>
    </xf>
    <xf numFmtId="1" fontId="29" fillId="2" borderId="0" xfId="0" applyNumberFormat="1" applyFont="1" applyBorder="1" applyAlignment="1">
      <alignment horizontal="center" vertical="center"/>
    </xf>
    <xf numFmtId="2" fontId="29" fillId="2" borderId="0" xfId="0" applyNumberFormat="1" applyFont="1" applyFill="1" applyBorder="1" applyAlignment="1" applyProtection="1">
      <alignment horizontal="center" vertical="center"/>
      <protection hidden="1"/>
    </xf>
    <xf numFmtId="177" fontId="29" fillId="2" borderId="0" xfId="0" applyNumberFormat="1" applyFont="1" applyFill="1" applyBorder="1" applyAlignment="1" applyProtection="1">
      <alignment horizontal="center" vertical="center"/>
      <protection hidden="1"/>
    </xf>
    <xf numFmtId="191" fontId="29" fillId="2" borderId="0" xfId="0" applyNumberFormat="1" applyFont="1" applyBorder="1" applyAlignment="1">
      <alignment horizontal="center" vertical="center"/>
    </xf>
    <xf numFmtId="191" fontId="28" fillId="2" borderId="0" xfId="0" applyNumberFormat="1" applyFont="1" applyFill="1" applyBorder="1" applyAlignment="1" applyProtection="1">
      <alignment horizontal="center" vertical="center"/>
      <protection hidden="1"/>
    </xf>
    <xf numFmtId="1" fontId="28" fillId="36" borderId="0" xfId="0" applyNumberFormat="1" applyFont="1" applyFill="1" applyBorder="1" applyAlignment="1" applyProtection="1">
      <alignment horizontal="center" vertical="center"/>
      <protection hidden="1"/>
    </xf>
    <xf numFmtId="1" fontId="30" fillId="36" borderId="53" xfId="0" applyNumberFormat="1" applyFont="1" applyFill="1" applyBorder="1" applyAlignment="1" applyProtection="1">
      <alignment horizontal="center" vertical="center"/>
      <protection hidden="1"/>
    </xf>
    <xf numFmtId="1" fontId="30" fillId="2" borderId="0" xfId="0" applyNumberFormat="1" applyFont="1" applyFill="1" applyBorder="1" applyAlignment="1" applyProtection="1">
      <alignment horizontal="center" vertical="center"/>
      <protection hidden="1"/>
    </xf>
    <xf numFmtId="1" fontId="30" fillId="36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13" xfId="0" applyNumberFormat="1" applyFont="1" applyFill="1" applyBorder="1" applyAlignment="1" applyProtection="1">
      <alignment horizontal="center" vertical="center"/>
      <protection hidden="1"/>
    </xf>
    <xf numFmtId="177" fontId="23" fillId="0" borderId="33" xfId="0" applyNumberFormat="1" applyFont="1" applyFill="1" applyBorder="1" applyAlignment="1" applyProtection="1">
      <alignment horizontal="center" vertical="center"/>
      <protection hidden="1"/>
    </xf>
    <xf numFmtId="191" fontId="15" fillId="0" borderId="34" xfId="0" applyNumberFormat="1" applyFont="1" applyFill="1" applyBorder="1" applyAlignment="1" applyProtection="1">
      <alignment horizontal="center" vertical="center"/>
      <protection hidden="1"/>
    </xf>
    <xf numFmtId="1" fontId="15" fillId="36" borderId="31" xfId="0" applyNumberFormat="1" applyFont="1" applyFill="1" applyBorder="1" applyAlignment="1" applyProtection="1">
      <alignment horizontal="center" vertical="center"/>
      <protection hidden="1"/>
    </xf>
    <xf numFmtId="1" fontId="23" fillId="36" borderId="44" xfId="0" applyNumberFormat="1" applyFont="1" applyFill="1" applyBorder="1" applyAlignment="1">
      <alignment horizontal="center" vertical="center"/>
    </xf>
    <xf numFmtId="2" fontId="23" fillId="36" borderId="10" xfId="0" applyNumberFormat="1" applyFont="1" applyFill="1" applyBorder="1" applyAlignment="1" applyProtection="1">
      <alignment horizontal="center" vertical="center"/>
      <protection hidden="1"/>
    </xf>
    <xf numFmtId="177" fontId="23" fillId="36" borderId="38" xfId="0" applyNumberFormat="1" applyFont="1" applyFill="1" applyBorder="1" applyAlignment="1" applyProtection="1">
      <alignment horizontal="center" vertical="center"/>
      <protection hidden="1"/>
    </xf>
    <xf numFmtId="191" fontId="23" fillId="36" borderId="49" xfId="0" applyNumberFormat="1" applyFont="1" applyFill="1" applyBorder="1" applyAlignment="1">
      <alignment horizontal="center" vertical="center"/>
    </xf>
    <xf numFmtId="177" fontId="23" fillId="36" borderId="33" xfId="0" applyNumberFormat="1" applyFont="1" applyFill="1" applyBorder="1" applyAlignment="1" applyProtection="1">
      <alignment horizontal="center" vertical="center"/>
      <protection hidden="1"/>
    </xf>
    <xf numFmtId="191" fontId="15" fillId="36" borderId="34" xfId="0" applyNumberFormat="1" applyFont="1" applyFill="1" applyBorder="1" applyAlignment="1" applyProtection="1">
      <alignment horizontal="center" vertical="center"/>
      <protection hidden="1"/>
    </xf>
    <xf numFmtId="0" fontId="15" fillId="35" borderId="0" xfId="0" applyFont="1" applyFill="1" applyBorder="1" applyAlignment="1">
      <alignment horizontal="right" vertical="center"/>
    </xf>
    <xf numFmtId="0" fontId="15" fillId="35" borderId="54" xfId="0" applyFont="1" applyFill="1" applyBorder="1" applyAlignment="1">
      <alignment vertical="center"/>
    </xf>
    <xf numFmtId="0" fontId="12" fillId="36" borderId="0" xfId="0" applyFont="1" applyFill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15" fillId="35" borderId="55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56" xfId="0" applyFont="1" applyFill="1" applyBorder="1" applyAlignment="1">
      <alignment horizontal="center" vertical="center"/>
    </xf>
    <xf numFmtId="0" fontId="15" fillId="35" borderId="55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56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5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5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indexed="1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11</xdr:row>
      <xdr:rowOff>190500</xdr:rowOff>
    </xdr:from>
    <xdr:to>
      <xdr:col>14</xdr:col>
      <xdr:colOff>142875</xdr:colOff>
      <xdr:row>23</xdr:row>
      <xdr:rowOff>228600</xdr:rowOff>
    </xdr:to>
    <xdr:grpSp>
      <xdr:nvGrpSpPr>
        <xdr:cNvPr id="1" name="Group 14"/>
        <xdr:cNvGrpSpPr>
          <a:grpSpLocks/>
        </xdr:cNvGrpSpPr>
      </xdr:nvGrpSpPr>
      <xdr:grpSpPr>
        <a:xfrm>
          <a:off x="8610600" y="3076575"/>
          <a:ext cx="4171950" cy="4267200"/>
          <a:chOff x="786" y="508"/>
          <a:chExt cx="438" cy="448"/>
        </a:xfrm>
        <a:solidFill>
          <a:srgbClr val="FFFFFF"/>
        </a:solidFill>
      </xdr:grpSpPr>
      <xdr:pic>
        <xdr:nvPicPr>
          <xdr:cNvPr id="2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95" y="764"/>
            <a:ext cx="227" cy="1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6" descr="Copie de nouveau-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" y="508"/>
            <a:ext cx="417" cy="1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7"/>
          <xdr:cNvSpPr txBox="1">
            <a:spLocks noChangeArrowheads="1"/>
          </xdr:cNvSpPr>
        </xdr:nvSpPr>
        <xdr:spPr>
          <a:xfrm>
            <a:off x="786" y="651"/>
            <a:ext cx="72" cy="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20°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 Mph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2,24 m/s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8,05 km/h</a:t>
            </a:r>
          </a:p>
        </xdr:txBody>
      </xdr:sp>
      <xdr:sp>
        <xdr:nvSpPr>
          <xdr:cNvPr id="5" name="Text Box 18"/>
          <xdr:cNvSpPr txBox="1">
            <a:spLocks noChangeArrowheads="1"/>
          </xdr:cNvSpPr>
        </xdr:nvSpPr>
        <xdr:spPr>
          <a:xfrm>
            <a:off x="883" y="651"/>
            <a:ext cx="77" cy="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45°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 Mph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4,48 m/s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16,10 km/h</a:t>
            </a:r>
          </a:p>
        </xdr:txBody>
      </xdr:sp>
      <xdr:sp>
        <xdr:nvSpPr>
          <xdr:cNvPr id="6" name="Text Box 19"/>
          <xdr:cNvSpPr txBox="1">
            <a:spLocks noChangeArrowheads="1"/>
          </xdr:cNvSpPr>
        </xdr:nvSpPr>
        <xdr:spPr>
          <a:xfrm>
            <a:off x="992" y="651"/>
            <a:ext cx="78" cy="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60°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 Mph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6,71 m/s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24,15 km/h</a:t>
            </a:r>
          </a:p>
        </xdr:txBody>
      </xdr:sp>
      <xdr:sp>
        <xdr:nvSpPr>
          <xdr:cNvPr id="7" name="Text Box 20"/>
          <xdr:cNvSpPr txBox="1">
            <a:spLocks noChangeArrowheads="1"/>
          </xdr:cNvSpPr>
        </xdr:nvSpPr>
        <xdr:spPr>
          <a:xfrm>
            <a:off x="1102" y="651"/>
            <a:ext cx="81" cy="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90°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 Mph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8,94 m/s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32,20 km/h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Q29"/>
  <sheetViews>
    <sheetView showGridLines="0" showRowColHeaders="0" tabSelected="1" zoomScalePageLayoutView="0" workbookViewId="0" topLeftCell="A3">
      <selection activeCell="F27" sqref="F27"/>
    </sheetView>
  </sheetViews>
  <sheetFormatPr defaultColWidth="11.00390625" defaultRowHeight="12.75"/>
  <cols>
    <col min="1" max="1" width="2.25390625" style="0" customWidth="1"/>
    <col min="2" max="2" width="20.375" style="0" customWidth="1"/>
    <col min="3" max="3" width="8.50390625" style="0" customWidth="1"/>
    <col min="14" max="14" width="3.25390625" style="0" hidden="1" customWidth="1"/>
    <col min="15" max="15" width="2.875" style="0" hidden="1" customWidth="1"/>
    <col min="16" max="17" width="0" style="0" hidden="1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24.75" customHeight="1">
      <c r="B2" s="169" t="s">
        <v>74</v>
      </c>
      <c r="C2" s="169"/>
      <c r="D2" s="169"/>
      <c r="E2" s="169"/>
      <c r="F2" s="169"/>
      <c r="G2" s="124"/>
    </row>
    <row r="3" spans="2:7" ht="12.75">
      <c r="B3" s="124"/>
      <c r="C3" s="124"/>
      <c r="D3" s="124"/>
      <c r="E3" s="124"/>
      <c r="F3" s="124"/>
      <c r="G3" s="124"/>
    </row>
    <row r="4" spans="2:7" ht="15">
      <c r="B4" s="134" t="s">
        <v>949</v>
      </c>
      <c r="C4" s="124"/>
      <c r="D4" s="124"/>
      <c r="E4" s="124"/>
      <c r="F4" s="124"/>
      <c r="G4" s="124"/>
    </row>
    <row r="5" spans="2:7" ht="12.75">
      <c r="B5" s="124"/>
      <c r="C5" s="124"/>
      <c r="D5" s="124"/>
      <c r="E5" s="124"/>
      <c r="F5" s="124"/>
      <c r="G5" s="124"/>
    </row>
    <row r="6" spans="2:7" ht="12.75">
      <c r="B6" s="135" t="s">
        <v>959</v>
      </c>
      <c r="C6" s="137">
        <v>5</v>
      </c>
      <c r="D6" s="124" t="s">
        <v>72</v>
      </c>
      <c r="E6" s="124"/>
      <c r="F6" s="124"/>
      <c r="G6" s="124"/>
    </row>
    <row r="7" spans="2:7" ht="12.75">
      <c r="B7" s="135" t="s">
        <v>958</v>
      </c>
      <c r="C7" s="137" t="s">
        <v>954</v>
      </c>
      <c r="D7" s="124"/>
      <c r="E7" s="124"/>
      <c r="F7" s="124"/>
      <c r="G7" s="124"/>
    </row>
    <row r="8" spans="2:7" ht="12.75">
      <c r="B8" s="136" t="s">
        <v>75</v>
      </c>
      <c r="C8" s="137">
        <v>100</v>
      </c>
      <c r="D8" s="124" t="s">
        <v>961</v>
      </c>
      <c r="E8" s="124"/>
      <c r="F8" s="124"/>
      <c r="G8" s="124"/>
    </row>
    <row r="9" spans="2:7" ht="12.75">
      <c r="B9" s="135" t="s">
        <v>960</v>
      </c>
      <c r="C9" s="137">
        <v>50</v>
      </c>
      <c r="D9" s="124" t="s">
        <v>961</v>
      </c>
      <c r="E9" s="124"/>
      <c r="F9" s="124"/>
      <c r="G9" s="124"/>
    </row>
    <row r="10" spans="2:7" ht="12.75">
      <c r="B10" s="124"/>
      <c r="C10" s="124"/>
      <c r="D10" s="124"/>
      <c r="E10" s="124"/>
      <c r="F10" s="124"/>
      <c r="G10" s="124"/>
    </row>
    <row r="11" spans="2:15" ht="15">
      <c r="B11" s="134" t="s">
        <v>950</v>
      </c>
      <c r="C11" s="124"/>
      <c r="D11" s="124"/>
      <c r="E11" s="124"/>
      <c r="F11" s="124"/>
      <c r="G11" s="124"/>
      <c r="N11" s="124">
        <v>241</v>
      </c>
      <c r="O11" t="s">
        <v>954</v>
      </c>
    </row>
    <row r="12" spans="2:17" ht="12.75">
      <c r="B12" s="124"/>
      <c r="C12" s="124"/>
      <c r="D12" s="124"/>
      <c r="E12" s="124"/>
      <c r="F12" s="124"/>
      <c r="G12" s="124"/>
      <c r="O12" t="s">
        <v>955</v>
      </c>
      <c r="Q12">
        <v>50</v>
      </c>
    </row>
    <row r="13" spans="2:17" ht="12.75">
      <c r="B13" s="135" t="s">
        <v>951</v>
      </c>
      <c r="C13" s="124"/>
      <c r="D13" s="124"/>
      <c r="E13" s="124"/>
      <c r="F13" s="124"/>
      <c r="G13" s="124"/>
      <c r="O13" t="s">
        <v>956</v>
      </c>
      <c r="Q13">
        <v>100</v>
      </c>
    </row>
    <row r="14" spans="2:7" ht="12.75">
      <c r="B14" s="124"/>
      <c r="C14" s="124"/>
      <c r="D14" s="124"/>
      <c r="E14" s="124"/>
      <c r="F14" s="124"/>
      <c r="G14" s="124"/>
    </row>
    <row r="15" spans="2:7" ht="12.75">
      <c r="B15" s="135" t="s">
        <v>76</v>
      </c>
      <c r="C15" s="138">
        <v>850</v>
      </c>
      <c r="D15" s="124" t="s">
        <v>63</v>
      </c>
      <c r="E15" s="124"/>
      <c r="F15" s="124"/>
      <c r="G15" s="124"/>
    </row>
    <row r="16" spans="2:7" ht="12.75">
      <c r="B16" s="135" t="s">
        <v>957</v>
      </c>
      <c r="C16" s="137">
        <f>VLOOKUP(N11,ogives!A1:G303,5)</f>
        <v>167</v>
      </c>
      <c r="D16" s="124" t="s">
        <v>962</v>
      </c>
      <c r="E16" s="124"/>
      <c r="F16" s="124"/>
      <c r="G16" s="124"/>
    </row>
    <row r="17" spans="2:7" ht="12.75">
      <c r="B17" s="135" t="s">
        <v>952</v>
      </c>
      <c r="C17" s="137">
        <f>VLOOKUP(N11,ogives!A1:G303,7)</f>
        <v>0.47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  <row r="19" spans="2:7" ht="15">
      <c r="B19" s="134" t="s">
        <v>953</v>
      </c>
      <c r="C19" s="124"/>
      <c r="D19" s="124"/>
      <c r="E19" s="124"/>
      <c r="F19" s="124"/>
      <c r="G19" s="124"/>
    </row>
    <row r="20" spans="2:7" ht="12.75">
      <c r="B20" s="124"/>
      <c r="C20" s="124"/>
      <c r="D20" s="124"/>
      <c r="E20" s="124"/>
      <c r="F20" s="124"/>
      <c r="G20" s="124"/>
    </row>
    <row r="21" spans="2:7" ht="12.75">
      <c r="B21" s="135" t="s">
        <v>78</v>
      </c>
      <c r="C21" s="137">
        <v>12</v>
      </c>
      <c r="D21" s="124" t="s">
        <v>961</v>
      </c>
      <c r="E21" s="124"/>
      <c r="F21" s="124"/>
      <c r="G21" s="124"/>
    </row>
    <row r="22" spans="2:7" ht="12.75">
      <c r="B22" s="135" t="s">
        <v>77</v>
      </c>
      <c r="C22" s="137">
        <v>15</v>
      </c>
      <c r="D22" s="124" t="s">
        <v>963</v>
      </c>
      <c r="E22" s="124"/>
      <c r="F22" s="124"/>
      <c r="G22" s="124"/>
    </row>
    <row r="23" spans="2:7" ht="12.75">
      <c r="B23" s="135" t="s">
        <v>79</v>
      </c>
      <c r="C23" s="137">
        <v>5</v>
      </c>
      <c r="D23" s="124" t="s">
        <v>63</v>
      </c>
      <c r="E23" s="124"/>
      <c r="F23" s="124"/>
      <c r="G23" s="124"/>
    </row>
    <row r="24" spans="2:7" ht="12.75">
      <c r="B24" s="135"/>
      <c r="C24" s="124"/>
      <c r="D24" s="124"/>
      <c r="E24" s="124"/>
      <c r="F24" s="124"/>
      <c r="G24" s="124"/>
    </row>
    <row r="25" spans="2:7" ht="12.75">
      <c r="B25" s="124"/>
      <c r="C25" s="124"/>
      <c r="D25" s="124"/>
      <c r="E25" s="124"/>
      <c r="F25" s="124"/>
      <c r="G25" s="124"/>
    </row>
    <row r="26" spans="2:7" ht="12.75">
      <c r="B26" s="124"/>
      <c r="C26" s="124"/>
      <c r="D26" s="124"/>
      <c r="E26" s="124"/>
      <c r="F26" s="124"/>
      <c r="G26" s="124"/>
    </row>
    <row r="27" spans="2:7" ht="12.75">
      <c r="B27" s="124"/>
      <c r="C27" s="124"/>
      <c r="D27" s="124"/>
      <c r="E27" s="124"/>
      <c r="F27" s="124"/>
      <c r="G27" s="124"/>
    </row>
    <row r="28" spans="2:7" ht="12.75">
      <c r="B28" s="124"/>
      <c r="C28" s="124"/>
      <c r="D28" s="124"/>
      <c r="E28" s="124"/>
      <c r="F28" s="124"/>
      <c r="G28" s="124"/>
    </row>
    <row r="29" spans="2:7" ht="12.75">
      <c r="B29" s="124"/>
      <c r="C29" s="124"/>
      <c r="D29" s="124"/>
      <c r="E29" s="124"/>
      <c r="F29" s="124"/>
      <c r="G29" s="124"/>
    </row>
  </sheetData>
  <sheetProtection/>
  <mergeCells count="1">
    <mergeCell ref="B2:F2"/>
  </mergeCells>
  <conditionalFormatting sqref="H19">
    <cfRule type="cellIs" priority="1" dxfId="1" operator="equal" stopIfTrue="1">
      <formula>""""""</formula>
    </cfRule>
  </conditionalFormatting>
  <conditionalFormatting sqref="C6:C9 C15:C17 C21:C23">
    <cfRule type="cellIs" priority="2" dxfId="0" operator="notEqual" stopIfTrue="1">
      <formula>""</formula>
    </cfRule>
  </conditionalFormatting>
  <dataValidations count="2">
    <dataValidation type="list" allowBlank="1" showInputMessage="1" showErrorMessage="1" sqref="C7">
      <formula1>$O$10:$O$13</formula1>
    </dataValidation>
    <dataValidation type="list" allowBlank="1" showInputMessage="1" showErrorMessage="1" sqref="C9">
      <formula1>$Q$11:$Q$13</formula1>
    </dataValidation>
  </dataValidations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I54"/>
  <sheetViews>
    <sheetView view="pageBreakPreview" zoomScale="60" zoomScaleNormal="50" zoomScalePageLayoutView="0" workbookViewId="0" topLeftCell="A4">
      <selection activeCell="A4" sqref="A4:I4"/>
    </sheetView>
  </sheetViews>
  <sheetFormatPr defaultColWidth="9.00390625" defaultRowHeight="12.75"/>
  <cols>
    <col min="1" max="1" width="13.625" style="0" customWidth="1"/>
    <col min="2" max="2" width="12.375" style="0" customWidth="1"/>
    <col min="3" max="3" width="10.00390625" style="0" customWidth="1"/>
    <col min="4" max="5" width="11.75390625" style="0" customWidth="1"/>
    <col min="6" max="6" width="10.875" style="0" customWidth="1"/>
    <col min="7" max="8" width="10.75390625" style="0" customWidth="1"/>
    <col min="9" max="9" width="10.875" style="0" customWidth="1"/>
    <col min="10" max="15" width="12.625" style="0" customWidth="1"/>
  </cols>
  <sheetData>
    <row r="1" ht="9" customHeight="1"/>
    <row r="2" spans="1:9" ht="27.75" customHeight="1">
      <c r="A2" s="118"/>
      <c r="B2" s="118"/>
      <c r="C2" s="118"/>
      <c r="D2" s="118"/>
      <c r="E2" s="118"/>
      <c r="F2" s="118"/>
      <c r="G2" s="118"/>
      <c r="H2" s="118"/>
      <c r="I2" s="118"/>
    </row>
    <row r="3" spans="1:9" ht="21" customHeight="1">
      <c r="A3" s="118"/>
      <c r="B3" s="118"/>
      <c r="C3" s="118"/>
      <c r="D3" s="118"/>
      <c r="E3" s="118"/>
      <c r="F3" s="118"/>
      <c r="G3" s="118"/>
      <c r="H3" s="118"/>
      <c r="I3" s="118"/>
    </row>
    <row r="4" spans="1:9" ht="23.25" customHeight="1">
      <c r="A4" s="170" t="str">
        <f>VLOOKUP(Données!N11,ogives!A1:I303,8)</f>
        <v>Ogive 0.308 - 167gr - Lapua Scenar GB422      CB = 0,47</v>
      </c>
      <c r="B4" s="171"/>
      <c r="C4" s="171"/>
      <c r="D4" s="171"/>
      <c r="E4" s="171"/>
      <c r="F4" s="171"/>
      <c r="G4" s="171"/>
      <c r="H4" s="171"/>
      <c r="I4" s="172"/>
    </row>
    <row r="5" spans="1:9" ht="23.25" customHeight="1">
      <c r="A5" s="105" t="s">
        <v>65</v>
      </c>
      <c r="B5" s="106">
        <f>Données!C15</f>
        <v>850</v>
      </c>
      <c r="C5" s="107" t="s">
        <v>63</v>
      </c>
      <c r="D5" s="108"/>
      <c r="E5" s="108"/>
      <c r="F5" s="108"/>
      <c r="G5" s="167" t="s">
        <v>981</v>
      </c>
      <c r="H5" s="167">
        <f>Données!C8</f>
        <v>100</v>
      </c>
      <c r="I5" s="168" t="s">
        <v>961</v>
      </c>
    </row>
    <row r="6" spans="1:9" ht="23.25" customHeight="1" thickBot="1">
      <c r="A6" s="109" t="s">
        <v>66</v>
      </c>
      <c r="B6" s="110">
        <f>Données!C23</f>
        <v>5</v>
      </c>
      <c r="C6" s="111" t="s">
        <v>63</v>
      </c>
      <c r="D6" s="111"/>
      <c r="E6" s="111"/>
      <c r="F6" s="119"/>
      <c r="G6" s="112" t="s">
        <v>67</v>
      </c>
      <c r="H6" s="112"/>
      <c r="I6" s="113" t="str">
        <f>Données!C7</f>
        <v>1/4 MOA</v>
      </c>
    </row>
    <row r="7" spans="1:9" ht="9.75" customHeight="1" thickBot="1">
      <c r="A7" s="120"/>
      <c r="B7" s="120"/>
      <c r="C7" s="120"/>
      <c r="D7" s="120"/>
      <c r="E7" s="120"/>
      <c r="F7" s="121"/>
      <c r="G7" s="121"/>
      <c r="H7" s="121"/>
      <c r="I7" s="121"/>
    </row>
    <row r="8" spans="1:9" ht="20.25" customHeight="1">
      <c r="A8" s="173" t="s">
        <v>68</v>
      </c>
      <c r="B8" s="176" t="s">
        <v>69</v>
      </c>
      <c r="C8" s="176" t="s">
        <v>70</v>
      </c>
      <c r="D8" s="179" t="s">
        <v>64</v>
      </c>
      <c r="E8" s="180"/>
      <c r="F8" s="181"/>
      <c r="G8" s="179" t="s">
        <v>71</v>
      </c>
      <c r="H8" s="180"/>
      <c r="I8" s="181"/>
    </row>
    <row r="9" spans="1:9" ht="20.25" customHeight="1">
      <c r="A9" s="174"/>
      <c r="B9" s="177"/>
      <c r="C9" s="177"/>
      <c r="D9" s="182"/>
      <c r="E9" s="183"/>
      <c r="F9" s="184"/>
      <c r="G9" s="182"/>
      <c r="H9" s="183"/>
      <c r="I9" s="184"/>
    </row>
    <row r="10" spans="1:9" ht="21.75" customHeight="1" thickBot="1">
      <c r="A10" s="175"/>
      <c r="B10" s="178"/>
      <c r="C10" s="178"/>
      <c r="D10" s="114" t="s">
        <v>72</v>
      </c>
      <c r="E10" s="115" t="s">
        <v>28</v>
      </c>
      <c r="F10" s="116" t="s">
        <v>73</v>
      </c>
      <c r="G10" s="114" t="s">
        <v>72</v>
      </c>
      <c r="H10" s="115" t="s">
        <v>28</v>
      </c>
      <c r="I10" s="116" t="s">
        <v>73</v>
      </c>
    </row>
    <row r="11" spans="1:9" ht="27.75" customHeight="1" thickBot="1">
      <c r="A11" s="122">
        <f>'Ballistics Table'!A4/1.094</f>
        <v>50</v>
      </c>
      <c r="B11" s="128">
        <f>'Ballistics Table'!B4*0.3048</f>
        <v>817.4736</v>
      </c>
      <c r="C11" s="130">
        <f>'Ballistics Table'!M4</f>
        <v>0.06118568232662193</v>
      </c>
      <c r="D11" s="123">
        <f>'Ballistics Table'!E4*2.54</f>
        <v>-0.6608814693872075</v>
      </c>
      <c r="E11" s="125">
        <f>'Ballistics Table'!F4</f>
        <v>-0.45431371757184424</v>
      </c>
      <c r="F11" s="157">
        <f>IF(Données!$C7="1/4 MOA",-4*D11/((TAN(1/60)*PI()/180)*A11*100),IF(Données!$C7="1/8 Moa",-8*D11/((TAN(1/60)*PI()/180)*A11*100),IF(Données!$C7="1 cm",-D11/(A11/100),"")))</f>
        <v>1.8173862146051387</v>
      </c>
      <c r="G11" s="158">
        <f>'Ballistics Table'!I4*2.54</f>
        <v>0.7914240286889322</v>
      </c>
      <c r="H11" s="159">
        <f>'Ballistics Table'!J4</f>
        <v>0.5440533731150708</v>
      </c>
      <c r="I11" s="157">
        <f>IF(Données!C7="1/4 MOA",4*G11/((TAN(1/60)*PI()/180)*A11*100),IF(Données!C7="1/8 Moa",8*G11/((TAN(1/60)*PI()/180)*A11*100),IF(Données!C7="1 cm",G11/(A11/100),"")))</f>
        <v>2.1763707809513724</v>
      </c>
    </row>
    <row r="12" spans="1:9" ht="27.75" customHeight="1" thickBot="1">
      <c r="A12" s="160">
        <f>'Ballistics Table'!A5/1.094</f>
        <v>100</v>
      </c>
      <c r="B12" s="161">
        <f>'Ballistics Table'!B5*0.3048</f>
        <v>785.7744</v>
      </c>
      <c r="C12" s="162">
        <f>'Ballistics Table'!M5</f>
        <v>0.1248396776718508</v>
      </c>
      <c r="D12" s="163">
        <f>'Ballistics Table'!E5*2.54</f>
        <v>0</v>
      </c>
      <c r="E12" s="164">
        <f>'Ballistics Table'!F5</f>
        <v>0</v>
      </c>
      <c r="F12" s="157">
        <f>IF(Données!$C7="1/4 MOA",-4*D12/((TAN(1/60)*PI()/180)*A12*100),IF(Données!$C7="1/8 Moa",-8*D12/((TAN(1/60)*PI()/180)*A12*100),IF(Données!$C7="1 cm",-D12/(A12/100),"")))</f>
        <v>0</v>
      </c>
      <c r="G12" s="165">
        <f>'Ballistics Table'!I5*2.54</f>
        <v>2.595971005732425</v>
      </c>
      <c r="H12" s="166">
        <f>'Ballistics Table'!J5</f>
        <v>0.8922819695766205</v>
      </c>
      <c r="I12" s="157">
        <f>IF(Données!C7="1/4 MOA",4*G12/((TAN(1/60)*PI()/180)*A12*100),IF(Données!C7="1/8 Moa",8*G12/((TAN(1/60)*PI()/180)*A12*100),IF(Données!C7="1 cm",G12/(A12/100),"")))</f>
        <v>3.5693858413879664</v>
      </c>
    </row>
    <row r="13" spans="1:9" ht="27.75" customHeight="1" thickBot="1">
      <c r="A13" s="122">
        <f>'Ballistics Table'!A6/1.094</f>
        <v>150</v>
      </c>
      <c r="B13" s="129">
        <f>'Ballistics Table'!B6*0.3048</f>
        <v>754.6848</v>
      </c>
      <c r="C13" s="131">
        <f>'Ballistics Table'!M6</f>
        <v>0.19111592969123692</v>
      </c>
      <c r="D13" s="126">
        <f>'Ballistics Table'!E6*2.54</f>
        <v>-3.2745436848481866</v>
      </c>
      <c r="E13" s="127">
        <f>'Ballistics Table'!F6</f>
        <v>-0.7503464104257631</v>
      </c>
      <c r="F13" s="157">
        <f>IF(Données!$C7="1/4 MOA",-4*D13/((TAN(1/60)*PI()/180)*A13*100),IF(Données!$C7="1/8 Moa",-8*D13/((TAN(1/60)*PI()/180)*A13*100),IF(Données!$C7="1 cm",-D13/(A13/100),"")))</f>
        <v>3.0016025705201903</v>
      </c>
      <c r="G13" s="158">
        <f>'Ballistics Table'!I6*2.54</f>
        <v>5.542985052700873</v>
      </c>
      <c r="H13" s="159">
        <f>'Ballistics Table'!J6</f>
        <v>1.2701491681368682</v>
      </c>
      <c r="I13" s="157">
        <f>IF(Données!C7="1/4 MOA",4*G13/((TAN(1/60)*PI()/180)*A13*100),IF(Données!C7="1/8 Moa",8*G13/((TAN(1/60)*PI()/180)*A13*100),IF(Données!C7="1 cm",G13/(A13/100),"")))</f>
        <v>5.080963878884178</v>
      </c>
    </row>
    <row r="14" spans="1:9" ht="27.75" customHeight="1" thickBot="1">
      <c r="A14" s="160">
        <f>'Ballistics Table'!A7/1.094</f>
        <v>200</v>
      </c>
      <c r="B14" s="161">
        <f>'Ballistics Table'!B7*0.3048</f>
        <v>724.5096000000001</v>
      </c>
      <c r="C14" s="162">
        <f>'Ballistics Table'!M7</f>
        <v>0.26015253044849396</v>
      </c>
      <c r="D14" s="163">
        <f>'Ballistics Table'!E7*2.54</f>
        <v>-10.803919970253895</v>
      </c>
      <c r="E14" s="164">
        <f>'Ballistics Table'!F7</f>
        <v>-1.8567508976253897</v>
      </c>
      <c r="F14" s="157">
        <f>IF(Données!$C7="1/4 MOA",-4*D14/((TAN(1/60)*PI()/180)*A14*100),IF(Données!$C7="1/8 Moa",-8*D14/((TAN(1/60)*PI()/180)*A14*100),IF(Données!$C7="1 cm",-D14/(A14/100),"")))</f>
        <v>7.427540386267282</v>
      </c>
      <c r="G14" s="165">
        <f>'Ballistics Table'!I7*2.54</f>
        <v>9.772482926937556</v>
      </c>
      <c r="H14" s="166">
        <f>'Ballistics Table'!J7</f>
        <v>1.6794891573223756</v>
      </c>
      <c r="I14" s="157">
        <f>IF(Données!C7="1/4 MOA",4*G14/((TAN(1/60)*PI()/180)*A14*100),IF(Données!C7="1/8 Moa",8*G14/((TAN(1/60)*PI()/180)*A14*100),IF(Données!C7="1 cm",G14/(A14/100),"")))</f>
        <v>6.7184421778191314</v>
      </c>
    </row>
    <row r="15" spans="1:9" ht="27.75" customHeight="1" thickBot="1">
      <c r="A15" s="122">
        <f>'Ballistics Table'!A8/1.094</f>
        <v>249.99999999999997</v>
      </c>
      <c r="B15" s="129">
        <f>'Ballistics Table'!B8*0.3048</f>
        <v>694.9440000000001</v>
      </c>
      <c r="C15" s="131">
        <f>'Ballistics Table'!M8</f>
        <v>0.33212621465902026</v>
      </c>
      <c r="D15" s="126">
        <f>'Ballistics Table'!E8*2.54</f>
        <v>-23.126824795002875</v>
      </c>
      <c r="E15" s="127">
        <f>'Ballistics Table'!F8</f>
        <v>-3.17964241242617</v>
      </c>
      <c r="F15" s="157">
        <f>IF(Données!$C7="1/4 MOA",-4*D15/((TAN(1/60)*PI()/180)*A15*100),IF(Données!$C7="1/8 Moa",-8*D15/((TAN(1/60)*PI()/180)*A15*100),IF(Données!$C7="1 cm",-D15/(A15/100),"")))</f>
        <v>12.719488899877486</v>
      </c>
      <c r="G15" s="158">
        <f>'Ballistics Table'!I8*2.54</f>
        <v>15.696892882839988</v>
      </c>
      <c r="H15" s="159">
        <f>'Ballistics Table'!J8</f>
        <v>2.1581218691280495</v>
      </c>
      <c r="I15" s="157">
        <f>IF(Données!C7="1/4 MOA",4*G15/((TAN(1/60)*PI()/180)*A15*100),IF(Données!C7="1/8 Moa",8*G15/((TAN(1/60)*PI()/180)*A15*100),IF(Données!C7="1 cm",G15/(A15/100),"")))</f>
        <v>8.63311140009976</v>
      </c>
    </row>
    <row r="16" spans="1:9" ht="27.75" customHeight="1" thickBot="1">
      <c r="A16" s="160">
        <f>'Ballistics Table'!A9/1.094</f>
        <v>299.99999999999994</v>
      </c>
      <c r="B16" s="161">
        <f>'Ballistics Table'!B9*0.3048</f>
        <v>665.988</v>
      </c>
      <c r="C16" s="162">
        <f>'Ballistics Table'!M9</f>
        <v>0.4072291894873955</v>
      </c>
      <c r="D16" s="163">
        <f>'Ballistics Table'!E9*2.54</f>
        <v>-40.69313441592532</v>
      </c>
      <c r="E16" s="164">
        <f>'Ballistics Table'!F9</f>
        <v>-4.662320963871682</v>
      </c>
      <c r="F16" s="157">
        <f>IF(Données!$C7="1/4 MOA",-4*D16/((TAN(1/60)*PI()/180)*A16*100),IF(Données!$C7="1/8 Moa",-8*D16/((TAN(1/60)*PI()/180)*A16*100),IF(Données!$C7="1 cm",-D16/(A16/100),"")))</f>
        <v>18.650631755280425</v>
      </c>
      <c r="G16" s="165">
        <f>'Ballistics Table'!I9*2.54</f>
        <v>23.330381568558188</v>
      </c>
      <c r="H16" s="166">
        <f>'Ballistics Table'!J9</f>
        <v>2.673024052913593</v>
      </c>
      <c r="I16" s="157">
        <f>IF(Données!C7="1/4 MOA",4*G16/((TAN(1/60)*PI()/180)*A16*100),IF(Données!C7="1/8 Moa",8*G16/((TAN(1/60)*PI()/180)*A16*100),IF(Données!C7="1 cm",G16/(A16/100),"")))</f>
        <v>10.69286899598162</v>
      </c>
    </row>
    <row r="17" spans="1:9" ht="27.75" customHeight="1" thickBot="1">
      <c r="A17" s="122">
        <f>'Ballistics Table'!A10/1.094</f>
        <v>349.99999999999994</v>
      </c>
      <c r="B17" s="129">
        <f>'Ballistics Table'!B10*0.3048</f>
        <v>637.6416</v>
      </c>
      <c r="C17" s="131">
        <f>'Ballistics Table'!M10</f>
        <v>0.4856708720877779</v>
      </c>
      <c r="D17" s="126">
        <f>'Ballistics Table'!E10*2.54</f>
        <v>-63.81392537146795</v>
      </c>
      <c r="E17" s="127">
        <f>'Ballistics Table'!F10</f>
        <v>-6.266855709551889</v>
      </c>
      <c r="F17" s="157">
        <f>IF(Données!$C7="1/4 MOA",-4*D17/((TAN(1/60)*PI()/180)*A17*100),IF(Données!$C7="1/8 Moa",-8*D17/((TAN(1/60)*PI()/180)*A17*100),IF(Données!$C7="1 cm",-D17/(A17/100),"")))</f>
        <v>25.069234616843872</v>
      </c>
      <c r="G17" s="158">
        <f>'Ballistics Table'!I10*2.54</f>
        <v>32.52058370403263</v>
      </c>
      <c r="H17" s="159">
        <f>'Ballistics Table'!J10</f>
        <v>3.1936885950397826</v>
      </c>
      <c r="I17" s="157">
        <f>IF(Données!C7="1/4 MOA",4*G17/((TAN(1/60)*PI()/180)*A17*100),IF(Données!C7="1/8 Moa",8*G17/((TAN(1/60)*PI()/180)*A17*100),IF(Données!C7="1 cm",G17/(A17/100),"")))</f>
        <v>12.775677691152028</v>
      </c>
    </row>
    <row r="18" spans="1:9" ht="27.75" customHeight="1" thickBot="1">
      <c r="A18" s="160">
        <f>'Ballistics Table'!A11/1.094</f>
        <v>399.99999999999994</v>
      </c>
      <c r="B18" s="161">
        <f>'Ballistics Table'!B11*0.3048</f>
        <v>610.2096</v>
      </c>
      <c r="C18" s="162">
        <f>'Ballistics Table'!M11</f>
        <v>0.5676389040558099</v>
      </c>
      <c r="D18" s="163">
        <f>'Ballistics Table'!E11*2.54</f>
        <v>-92.29780953074965</v>
      </c>
      <c r="E18" s="164">
        <f>'Ballistics Table'!F11</f>
        <v>-7.931104690099317</v>
      </c>
      <c r="F18" s="157">
        <f>IF(Données!$C7="1/4 MOA",-4*D18/((TAN(1/60)*PI()/180)*A18*100),IF(Données!$C7="1/8 Moa",-8*D18/((TAN(1/60)*PI()/180)*A18*100),IF(Données!$C7="1 cm",-D18/(A18/100),"")))</f>
        <v>31.726711681553567</v>
      </c>
      <c r="G18" s="165">
        <f>'Ballistics Table'!I11*2.54</f>
        <v>42.666549268338244</v>
      </c>
      <c r="H18" s="166">
        <f>'Ballistics Table'!J11</f>
        <v>3.666315275875893</v>
      </c>
      <c r="I18" s="157">
        <f>IF(Données!C7="1/4 MOA",4*G18/((TAN(1/60)*PI()/180)*A18*100),IF(Données!C7="1/8 Moa",8*G18/((TAN(1/60)*PI()/180)*A18*100),IF(Données!C7="1 cm",G18/(A18/100),"")))</f>
        <v>14.66632105318148</v>
      </c>
    </row>
    <row r="19" spans="1:9" ht="27.75" customHeight="1" thickBot="1">
      <c r="A19" s="122">
        <f>'Ballistics Table'!A12/1.094</f>
        <v>449.99999999999994</v>
      </c>
      <c r="B19" s="129">
        <f>'Ballistics Table'!B12*0.3048</f>
        <v>583.0824</v>
      </c>
      <c r="C19" s="131">
        <f>'Ballistics Table'!M12</f>
        <v>0.6534203990897879</v>
      </c>
      <c r="D19" s="126">
        <f>'Ballistics Table'!E12*2.54</f>
        <v>-127.05820378253462</v>
      </c>
      <c r="E19" s="127">
        <f>'Ballistics Table'!F12</f>
        <v>-9.704931566955109</v>
      </c>
      <c r="F19" s="157">
        <f>IF(Données!$C7="1/4 MOA",-4*D19/((TAN(1/60)*PI()/180)*A19*100),IF(Données!$C7="1/8 Moa",-8*D19/((TAN(1/60)*PI()/180)*A19*100),IF(Données!$C7="1 cm",-D19/(A19/100),"")))</f>
        <v>38.82253201100248</v>
      </c>
      <c r="G19" s="158">
        <f>'Ballistics Table'!I12*2.54</f>
        <v>54.502122855282124</v>
      </c>
      <c r="H19" s="159">
        <f>'Ballistics Table'!J12</f>
        <v>4.162969071006187</v>
      </c>
      <c r="I19" s="157">
        <f>IF(Données!C7="1/4 MOA",4*G19/((TAN(1/60)*PI()/180)*A19*100),IF(Données!C7="1/8 Moa",8*G19/((TAN(1/60)*PI()/180)*A19*100),IF(Données!C7="1 cm",G19/(A19/100),"")))</f>
        <v>16.653079818743922</v>
      </c>
    </row>
    <row r="20" spans="1:9" ht="27.75" customHeight="1" thickBot="1">
      <c r="A20" s="160">
        <f>'Ballistics Table'!A13/1.094</f>
        <v>499.99999999999994</v>
      </c>
      <c r="B20" s="161">
        <f>'Ballistics Table'!B13*0.3048</f>
        <v>557.1744</v>
      </c>
      <c r="C20" s="162">
        <f>'Ballistics Table'!M13</f>
        <v>0.7431906397900068</v>
      </c>
      <c r="D20" s="163">
        <f>'Ballistics Table'!E13*2.54</f>
        <v>-170.2105888453672</v>
      </c>
      <c r="E20" s="164">
        <f>'Ballistics Table'!F13</f>
        <v>-11.700888732760752</v>
      </c>
      <c r="F20" s="157">
        <f>IF(Données!$C7="1/4 MOA",-4*D20/((TAN(1/60)*PI()/180)*A20*100),IF(Données!$C7="1/8 Moa",-8*D20/((TAN(1/60)*PI()/180)*A20*100),IF(Données!$C7="1 cm",-D20/(A20/100),"")))</f>
        <v>46.80693771520375</v>
      </c>
      <c r="G20" s="165">
        <f>'Ballistics Table'!I13*2.54</f>
        <v>69.32616298285478</v>
      </c>
      <c r="H20" s="166">
        <f>'Ballistics Table'!J13</f>
        <v>4.765730057303069</v>
      </c>
      <c r="I20" s="157">
        <f>IF(Données!C7="1/4 MOA",4*G20/((TAN(1/60)*PI()/180)*A20*100),IF(Données!C7="1/8 Moa",8*G20/((TAN(1/60)*PI()/180)*A20*100),IF(Données!C7="1 cm",G20/(A20/100),"")))</f>
        <v>19.064298025080646</v>
      </c>
    </row>
    <row r="21" spans="1:9" ht="27.75" customHeight="1" thickBot="1">
      <c r="A21" s="122">
        <f>'Ballistics Table'!A14/1.094</f>
        <v>550</v>
      </c>
      <c r="B21" s="129">
        <f>'Ballistics Table'!B14*0.3048</f>
        <v>532.1808</v>
      </c>
      <c r="C21" s="131">
        <f>'Ballistics Table'!M14</f>
        <v>0.8371768940855395</v>
      </c>
      <c r="D21" s="126">
        <f>'Ballistics Table'!E14*2.54</f>
        <v>-221.2810840044894</v>
      </c>
      <c r="E21" s="127">
        <f>'Ballistics Table'!F14</f>
        <v>-13.828780411826076</v>
      </c>
      <c r="F21" s="157">
        <f>IF(Données!$C7="1/4 MOA",-4*D21/((TAN(1/60)*PI()/180)*A21*100),IF(Données!$C7="1/8 Moa",-8*D21/((TAN(1/60)*PI()/180)*A21*100),IF(Données!$C7="1 cm",-D21/(A21/100),"")))</f>
        <v>55.31911961535681</v>
      </c>
      <c r="G21" s="158">
        <f>'Ballistics Table'!I14*2.54</f>
        <v>86.1057130682725</v>
      </c>
      <c r="H21" s="159">
        <f>'Ballistics Table'!J14</f>
        <v>5.381106132870739</v>
      </c>
      <c r="I21" s="157">
        <f>IF(Données!C7="1/4 MOA",4*G21/((TAN(1/60)*PI()/180)*A21*100),IF(Données!C7="1/8 Moa",8*G21/((TAN(1/60)*PI()/180)*A21*100),IF(Données!C7="1 cm",G21/(A21/100),"")))</f>
        <v>21.525980235584527</v>
      </c>
    </row>
    <row r="22" spans="1:9" ht="27.75" customHeight="1" thickBot="1">
      <c r="A22" s="160">
        <f>'Ballistics Table'!A15/1.094</f>
        <v>600</v>
      </c>
      <c r="B22" s="161">
        <f>'Ballistics Table'!B15*0.3048</f>
        <v>507.7968</v>
      </c>
      <c r="C22" s="162">
        <f>'Ballistics Table'!M15</f>
        <v>0.9356762938454436</v>
      </c>
      <c r="D22" s="163">
        <f>'Ballistics Table'!E15*2.54</f>
        <v>-281.9914468519833</v>
      </c>
      <c r="E22" s="164">
        <f>'Ballistics Table'!F15</f>
        <v>-16.154256155996496</v>
      </c>
      <c r="F22" s="157">
        <f>IF(Données!$C7="1/4 MOA",-4*D22/((TAN(1/60)*PI()/180)*A22*100),IF(Données!$C7="1/8 Moa",-8*D22/((TAN(1/60)*PI()/180)*A22*100),IF(Données!$C7="1 cm",-D22/(A22/100),"")))</f>
        <v>64.62169489844983</v>
      </c>
      <c r="G22" s="165">
        <f>'Ballistics Table'!I15*2.54</f>
        <v>105.63916030364736</v>
      </c>
      <c r="H22" s="166">
        <f>'Ballistics Table'!J15</f>
        <v>6.051680200588656</v>
      </c>
      <c r="I22" s="157">
        <f>IF(Données!C7="1/4 MOA",4*G22/((TAN(1/60)*PI()/180)*A22*100),IF(Données!C7="1/8 Moa",8*G22/((TAN(1/60)*PI()/180)*A22*100),IF(Données!C7="1 cm",G22/(A22/100),"")))</f>
        <v>24.208470372698894</v>
      </c>
    </row>
    <row r="23" spans="1:9" ht="27.75" customHeight="1" thickBot="1">
      <c r="A23" s="122">
        <f>'Ballistics Table'!A16/1.094</f>
        <v>650.0000000000001</v>
      </c>
      <c r="B23" s="129">
        <f>'Ballistics Table'!B16*0.3048</f>
        <v>484.632</v>
      </c>
      <c r="C23" s="131">
        <f>'Ballistics Table'!M16</f>
        <v>1.038883841015255</v>
      </c>
      <c r="D23" s="126">
        <f>'Ballistics Table'!E16*2.54</f>
        <v>-350.61416082081024</v>
      </c>
      <c r="E23" s="127">
        <f>'Ballistics Table'!F16</f>
        <v>-18.540369097273505</v>
      </c>
      <c r="F23" s="157">
        <f>IF(Données!$C7="1/4 MOA",-4*D23/((TAN(1/60)*PI()/180)*A23*100),IF(Données!$C7="1/8 Moa",-8*D23/((TAN(1/60)*PI()/180)*A23*100),IF(Données!$C7="1 cm",-D23/(A23/100),"")))</f>
        <v>74.16683650047949</v>
      </c>
      <c r="G23" s="158">
        <f>'Ballistics Table'!I16*2.54</f>
        <v>126.2750509747321</v>
      </c>
      <c r="H23" s="159">
        <f>'Ballistics Table'!J16</f>
        <v>6.677385897271499</v>
      </c>
      <c r="I23" s="157">
        <f>IF(Données!C7="1/4 MOA",4*G23/((TAN(1/60)*PI()/180)*A23*100),IF(Données!C7="1/8 Moa",8*G23/((TAN(1/60)*PI()/180)*A23*100),IF(Données!C7="1 cm",G23/(A23/100),"")))</f>
        <v>26.71147405400745</v>
      </c>
    </row>
    <row r="24" spans="1:9" ht="27.75" customHeight="1" thickBot="1">
      <c r="A24" s="160">
        <f>'Ballistics Table'!A17/1.094</f>
        <v>700.0000000000001</v>
      </c>
      <c r="B24" s="161">
        <f>'Ballistics Table'!B17*0.3048</f>
        <v>461.77200000000005</v>
      </c>
      <c r="C24" s="162">
        <f>'Ballistics Table'!M17</f>
        <v>1.1472006726984234</v>
      </c>
      <c r="D24" s="163">
        <f>'Ballistics Table'!E17*2.54</f>
        <v>-430.0900738655586</v>
      </c>
      <c r="E24" s="164">
        <f>'Ballistics Table'!F17</f>
        <v>-21.118528748515747</v>
      </c>
      <c r="F24" s="157">
        <f>IF(Données!$C7="1/4 MOA",-4*D24/((TAN(1/60)*PI()/180)*A24*100),IF(Données!$C7="1/8 Moa",-8*D24/((TAN(1/60)*PI()/180)*A24*100),IF(Données!$C7="1 cm",-D24/(A24/100),"")))</f>
        <v>84.48022046401321</v>
      </c>
      <c r="G24" s="165">
        <f>'Ballistics Table'!I17*2.54</f>
        <v>149.64345189577173</v>
      </c>
      <c r="H24" s="166">
        <f>'Ballistics Table'!J17</f>
        <v>7.347878346701504</v>
      </c>
      <c r="I24" s="157">
        <f>IF(Données!C7="1/4 MOA",4*G24/((TAN(1/60)*PI()/180)*A24*100),IF(Données!C7="1/8 Moa",8*G24/((TAN(1/60)*PI()/180)*A24*100),IF(Données!C7="1 cm",G24/(A24/100),"")))</f>
        <v>29.393637694373933</v>
      </c>
    </row>
    <row r="25" spans="1:9" ht="27.75" customHeight="1" thickBot="1">
      <c r="A25" s="122">
        <f>'Ballistics Table'!A18/1.094</f>
        <v>750.0000000000001</v>
      </c>
      <c r="B25" s="129">
        <f>'Ballistics Table'!B18*0.3048</f>
        <v>439.82640000000004</v>
      </c>
      <c r="C25" s="131">
        <f>'Ballistics Table'!M18</f>
        <v>1.2609220864198372</v>
      </c>
      <c r="D25" s="126">
        <f>'Ballistics Table'!E18*2.54</f>
        <v>-518.1864310837004</v>
      </c>
      <c r="E25" s="127">
        <f>'Ballistics Table'!F18</f>
        <v>-23.748000693600027</v>
      </c>
      <c r="F25" s="157">
        <f>IF(Données!$C7="1/4 MOA",-4*D25/((TAN(1/60)*PI()/180)*A25*100),IF(Données!$C7="1/8 Moa",-8*D25/((TAN(1/60)*PI()/180)*A25*100),IF(Données!$C7="1 cm",-D25/(A25/100),"")))</f>
        <v>94.9988684375502</v>
      </c>
      <c r="G25" s="158">
        <f>'Ballistics Table'!I18*2.54</f>
        <v>174.0695530877418</v>
      </c>
      <c r="H25" s="159">
        <f>'Ballistics Table'!J18</f>
        <v>7.977445219507541</v>
      </c>
      <c r="I25" s="157">
        <f>IF(Données!C7="1/4 MOA",4*G25/((TAN(1/60)*PI()/180)*A25*100),IF(Données!C7="1/8 Moa",8*G25/((TAN(1/60)*PI()/180)*A25*100),IF(Données!C7="1 cm",G25/(A25/100),"")))</f>
        <v>31.912087196460167</v>
      </c>
    </row>
    <row r="26" spans="1:9" ht="27.75" customHeight="1" thickBot="1">
      <c r="A26" s="160">
        <f>'Ballistics Table'!A19/1.094</f>
        <v>800.0000000000002</v>
      </c>
      <c r="B26" s="161">
        <f>'Ballistics Table'!B19*0.3048</f>
        <v>420.3192</v>
      </c>
      <c r="C26" s="162">
        <f>'Ballistics Table'!M19</f>
        <v>1.3799213612566756</v>
      </c>
      <c r="D26" s="163">
        <f>'Ballistics Table'!E19*2.54</f>
        <v>-626.5363869266307</v>
      </c>
      <c r="E26" s="164">
        <f>'Ballistics Table'!F19</f>
        <v>-26.918979454307532</v>
      </c>
      <c r="F26" s="157">
        <f>IF(Données!$C7="1/4 MOA",-4*D26/((TAN(1/60)*PI()/180)*A26*100),IF(Données!$C7="1/8 Moa",-8*D26/((TAN(1/60)*PI()/180)*A26*100),IF(Données!$C7="1 cm",-D26/(A26/100),"")))</f>
        <v>107.68370022584891</v>
      </c>
      <c r="G26" s="165">
        <f>'Ballistics Table'!I19*2.54</f>
        <v>204.60321914320855</v>
      </c>
      <c r="H26" s="166">
        <f>'Ballistics Table'!J19</f>
        <v>8.790726232866314</v>
      </c>
      <c r="I26" s="157">
        <f>IF(Données!C7="1/4 MOA",4*G26/((TAN(1/60)*PI()/180)*A26*100),IF(Données!C7="1/8 Moa",8*G26/((TAN(1/60)*PI()/180)*A26*100),IF(Données!C7="1 cm",G26/(A26/100),"")))</f>
        <v>35.165446373413914</v>
      </c>
    </row>
    <row r="27" spans="1:9" ht="27.75" customHeight="1" thickBot="1">
      <c r="A27" s="122">
        <f>'Ballistics Table'!A20/1.094</f>
        <v>850.0000000000002</v>
      </c>
      <c r="B27" s="129">
        <f>'Ballistics Table'!B20*0.3048</f>
        <v>401.7264</v>
      </c>
      <c r="C27" s="131">
        <f>'Ballistics Table'!M20</f>
        <v>1.5044281897847487</v>
      </c>
      <c r="D27" s="126">
        <f>'Ballistics Table'!E20*2.54</f>
        <v>-745.7791379071507</v>
      </c>
      <c r="E27" s="127">
        <f>'Ballistics Table'!F20</f>
        <v>-30.157378336140205</v>
      </c>
      <c r="F27" s="157">
        <f>IF(Données!$C7="1/4 MOA",-4*D27/((TAN(1/60)*PI()/180)*A27*100),IF(Données!$C7="1/8 Moa",-8*D27/((TAN(1/60)*PI()/180)*A27*100),IF(Données!$C7="1 cm",-D27/(A27/100),"")))</f>
        <v>120.63823199013507</v>
      </c>
      <c r="G27" s="158">
        <f>'Ballistics Table'!I20*2.54</f>
        <v>236.1903401536785</v>
      </c>
      <c r="H27" s="159">
        <f>'Ballistics Table'!J20</f>
        <v>9.550926119152082</v>
      </c>
      <c r="I27" s="157">
        <f>IF(Données!C7="1/4 MOA",4*G27/((TAN(1/60)*PI()/180)*A27*100),IF(Données!C7="1/8 Moa",8*G27/((TAN(1/60)*PI()/180)*A27*100),IF(Données!C7="1 cm",G27/(A27/100),"")))</f>
        <v>38.20646569606218</v>
      </c>
    </row>
    <row r="28" spans="1:9" ht="27.75" customHeight="1" thickBot="1">
      <c r="A28" s="160">
        <f>'Ballistics Table'!A21/1.094</f>
        <v>900.0000000000002</v>
      </c>
      <c r="B28" s="161">
        <f>'Ballistics Table'!B21*0.3048</f>
        <v>384.3528</v>
      </c>
      <c r="C28" s="162">
        <f>'Ballistics Table'!M21</f>
        <v>1.6345630034247172</v>
      </c>
      <c r="D28" s="163">
        <f>'Ballistics Table'!E21*2.54</f>
        <v>-878.4712160412886</v>
      </c>
      <c r="E28" s="164">
        <f>'Ballistics Table'!F21</f>
        <v>-33.54959688322168</v>
      </c>
      <c r="F28" s="157">
        <f>IF(Données!$C7="1/4 MOA",-4*D28/((TAN(1/60)*PI()/180)*A28*100),IF(Données!$C7="1/8 Moa",-8*D28/((TAN(1/60)*PI()/180)*A28*100),IF(Données!$C7="1 cm",-D28/(A28/100),"")))</f>
        <v>134.20808688543406</v>
      </c>
      <c r="G28" s="165">
        <f>'Ballistics Table'!I21*2.54</f>
        <v>269.6686199272892</v>
      </c>
      <c r="H28" s="166">
        <f>'Ballistics Table'!J21</f>
        <v>10.298884386201733</v>
      </c>
      <c r="I28" s="157">
        <f>IF(Données!C7="1/4 MOA",4*G28/((TAN(1/60)*PI()/180)*A28*100),IF(Données!C7="1/8 Moa",8*G28/((TAN(1/60)*PI()/180)*A28*100),IF(Données!C7="1 cm",G28/(A28/100),"")))</f>
        <v>41.19851500265399</v>
      </c>
    </row>
    <row r="29" spans="1:9" ht="27.75" customHeight="1" thickBot="1">
      <c r="A29" s="122">
        <f>'Ballistics Table'!A22/1.094</f>
        <v>950.0000000000003</v>
      </c>
      <c r="B29" s="129">
        <f>'Ballistics Table'!B22*0.3048</f>
        <v>367.5888</v>
      </c>
      <c r="C29" s="131">
        <f>'Ballistics Table'!M22</f>
        <v>1.7706326551660108</v>
      </c>
      <c r="D29" s="126">
        <f>'Ballistics Table'!E22*2.54</f>
        <v>-1028.3946086468584</v>
      </c>
      <c r="E29" s="127">
        <f>'Ballistics Table'!F22</f>
        <v>-37.20818326711548</v>
      </c>
      <c r="F29" s="157">
        <f>IF(Données!$C7="1/4 MOA",-4*D29/((TAN(1/60)*PI()/180)*A29*100),IF(Données!$C7="1/8 Moa",-8*D29/((TAN(1/60)*PI()/180)*A29*100),IF(Données!$C7="1 cm",-D29/(A29/100),"")))</f>
        <v>148.84349013622668</v>
      </c>
      <c r="G29" s="158">
        <f>'Ballistics Table'!I22*2.54</f>
        <v>306.33579990838297</v>
      </c>
      <c r="H29" s="159">
        <f>'Ballistics Table'!J22</f>
        <v>11.083487299945164</v>
      </c>
      <c r="I29" s="157">
        <f>IF(Données!C7="1/4 MOA",4*G29/((TAN(1/60)*PI()/180)*A29*100),IF(Données!C7="1/8 Moa",8*G29/((TAN(1/60)*PI()/180)*A29*100),IF(Données!C7="1 cm",G29/(A29/100),"")))</f>
        <v>44.33715349016751</v>
      </c>
    </row>
    <row r="30" spans="1:9" ht="27.75" customHeight="1">
      <c r="A30" s="160">
        <f>'Ballistics Table'!A23/1.094</f>
        <v>1000.0000000000003</v>
      </c>
      <c r="B30" s="161">
        <f>'Ballistics Table'!B23*0.3048</f>
        <v>354.17760000000004</v>
      </c>
      <c r="C30" s="162">
        <f>'Ballistics Table'!M23</f>
        <v>1.911854686147078</v>
      </c>
      <c r="D30" s="163">
        <f>'Ballistics Table'!E23*2.54</f>
        <v>-1202.2388406964226</v>
      </c>
      <c r="E30" s="164">
        <f>'Ballistics Table'!F23</f>
        <v>-41.32311332866585</v>
      </c>
      <c r="F30" s="157">
        <f>IF(Données!$C7="1/4 MOA",-4*D30/((TAN(1/60)*PI()/180)*A30*100),IF(Données!$C7="1/8 Moa",-8*D30/((TAN(1/60)*PI()/180)*A30*100),IF(Données!$C7="1 cm",-D30/(A30/100),"")))</f>
        <v>165.30440002883475</v>
      </c>
      <c r="G30" s="165">
        <f>'Ballistics Table'!I23*2.54</f>
        <v>347.17010278126776</v>
      </c>
      <c r="H30" s="166">
        <f>'Ballistics Table'!J23</f>
        <v>11.932861438118724</v>
      </c>
      <c r="I30" s="157">
        <f>IF(Données!C7="1/4 MOA",4*G30/((TAN(1/60)*PI()/180)*A30*100),IF(Données!C7="1/8 Moa",8*G30/((TAN(1/60)*PI()/180)*A30*100),IF(Données!C7="1 cm",G30/(A30/100),"")))</f>
        <v>47.73489560107932</v>
      </c>
    </row>
    <row r="31" spans="1:9" ht="27.75" customHeight="1">
      <c r="A31" s="140">
        <f>'Ballistics Table'!A24/1.094</f>
        <v>1050.0000000000005</v>
      </c>
      <c r="B31" s="141">
        <f>'Ballistics Table'!B24*0.3048</f>
        <v>341.37600000000003</v>
      </c>
      <c r="C31" s="142">
        <f>'Ballistics Table'!M24</f>
        <v>2.058372543289935</v>
      </c>
      <c r="D31" s="143">
        <f>'Ballistics Table'!E24*2.54</f>
        <v>-1390.0463865788101</v>
      </c>
      <c r="E31" s="144">
        <f>'Ballistics Table'!F24</f>
        <v>-45.503235036158664</v>
      </c>
      <c r="F31" s="145"/>
      <c r="G31" s="143">
        <f>'Ballistics Table'!I24*2.54</f>
        <v>388.7734779887832</v>
      </c>
      <c r="H31" s="146">
        <f>'Ballistics Table'!J24</f>
        <v>12.72651842093435</v>
      </c>
      <c r="I31" s="154"/>
    </row>
    <row r="32" spans="1:9" ht="27.75" customHeight="1">
      <c r="A32" s="147">
        <f>'Ballistics Table'!A25/1.094</f>
        <v>1100.0000000000005</v>
      </c>
      <c r="B32" s="148">
        <f>'Ballistics Table'!B25*0.3048</f>
        <v>330.4032</v>
      </c>
      <c r="C32" s="149">
        <f>'Ballistics Table'!M25</f>
        <v>2.2097563071275736</v>
      </c>
      <c r="D32" s="150">
        <f>'Ballistics Table'!E25*2.54</f>
        <v>-1607.2631879341825</v>
      </c>
      <c r="E32" s="151">
        <f>'Ballistics Table'!F25</f>
        <v>-50.222299366317294</v>
      </c>
      <c r="F32" s="147"/>
      <c r="G32" s="150">
        <f>'Ballistics Table'!I25*2.54</f>
        <v>435.4075143417062</v>
      </c>
      <c r="H32" s="152">
        <f>'Ballistics Table'!J25</f>
        <v>13.605218296400578</v>
      </c>
      <c r="I32" s="155"/>
    </row>
    <row r="33" spans="1:9" ht="27.75" customHeight="1">
      <c r="A33" s="147">
        <f>'Ballistics Table'!A26/1.094</f>
        <v>1150.0000000000005</v>
      </c>
      <c r="B33" s="148">
        <f>'Ballistics Table'!B26*0.3048</f>
        <v>320.9544</v>
      </c>
      <c r="C33" s="149">
        <f>'Ballistics Table'!M26</f>
        <v>2.3655967629680297</v>
      </c>
      <c r="D33" s="150">
        <f>'Ballistics Table'!E26*2.54</f>
        <v>-1838.3535208134715</v>
      </c>
      <c r="E33" s="151">
        <f>'Ballistics Table'!F26</f>
        <v>-54.945669628465296</v>
      </c>
      <c r="F33" s="153"/>
      <c r="G33" s="150">
        <f>'Ballistics Table'!I26*2.54</f>
        <v>481.60858990448173</v>
      </c>
      <c r="H33" s="152">
        <f>'Ballistics Table'!J26</f>
        <v>14.394568928947413</v>
      </c>
      <c r="I33" s="156"/>
    </row>
    <row r="34" spans="1:9" ht="27.75" customHeight="1">
      <c r="A34" s="147">
        <f>'Ballistics Table'!A27/1.094</f>
        <v>1200.0000000000005</v>
      </c>
      <c r="B34" s="148">
        <f>'Ballistics Table'!B27*0.3048</f>
        <v>312.42</v>
      </c>
      <c r="C34" s="149">
        <f>'Ballistics Table'!M27</f>
        <v>2.5256943239436396</v>
      </c>
      <c r="D34" s="150">
        <f>'Ballistics Table'!E27*2.54</f>
        <v>-2096.0249124876054</v>
      </c>
      <c r="E34" s="151">
        <f>'Ballistics Table'!F27</f>
        <v>-60.03679140567656</v>
      </c>
      <c r="F34" s="147"/>
      <c r="G34" s="150">
        <f>'Ballistics Table'!I27*2.54</f>
        <v>531.112317445113</v>
      </c>
      <c r="H34" s="152">
        <f>'Ballistics Table'!J27</f>
        <v>15.2127387539466</v>
      </c>
      <c r="I34" s="155"/>
    </row>
    <row r="35" spans="1:9" ht="27.75" customHeight="1">
      <c r="A35" s="147">
        <f>'Ballistics Table'!A28/1.094</f>
        <v>1250.0000000000005</v>
      </c>
      <c r="B35" s="148">
        <f>'Ballistics Table'!B28*0.3048</f>
        <v>304.8</v>
      </c>
      <c r="C35" s="149">
        <f>'Ballistics Table'!M28</f>
        <v>2.68979432394364</v>
      </c>
      <c r="D35" s="150">
        <f>'Ballistics Table'!E28*2.54</f>
        <v>-2379.8836996670784</v>
      </c>
      <c r="E35" s="151">
        <f>'Ballistics Table'!F28</f>
        <v>-65.44070978337</v>
      </c>
      <c r="F35" s="153"/>
      <c r="G35" s="150">
        <f>'Ballistics Table'!I28*2.54</f>
        <v>583.2196485412638</v>
      </c>
      <c r="H35" s="152">
        <f>'Ballistics Table'!J28</f>
        <v>16.037047426093544</v>
      </c>
      <c r="I35" s="156"/>
    </row>
    <row r="36" spans="1:9" ht="27.75" customHeight="1">
      <c r="A36" s="147">
        <f>'Ballistics Table'!A29/1.094</f>
        <v>1300.0000000000005</v>
      </c>
      <c r="B36" s="148">
        <f>'Ballistics Table'!B29*0.3048</f>
        <v>297.7896</v>
      </c>
      <c r="C36" s="149">
        <f>'Ballistics Table'!M29</f>
        <v>2.8577574764513165</v>
      </c>
      <c r="D36" s="150">
        <f>'Ballistics Table'!E29*2.54</f>
        <v>-2686.7489589682373</v>
      </c>
      <c r="E36" s="151">
        <f>'Ballistics Table'!F29</f>
        <v>-71.03722972051426</v>
      </c>
      <c r="F36" s="147"/>
      <c r="G36" s="150">
        <f>'Ballistics Table'!I29*2.54</f>
        <v>636.8212472332434</v>
      </c>
      <c r="H36" s="152">
        <f>'Ballistics Table'!J29</f>
        <v>16.83745594451987</v>
      </c>
      <c r="I36" s="155"/>
    </row>
    <row r="37" spans="1:9" ht="27.75" customHeight="1">
      <c r="A37" s="147">
        <f>'Ballistics Table'!A30/1.094</f>
        <v>1350.0000000000007</v>
      </c>
      <c r="B37" s="148">
        <f>'Ballistics Table'!B30*0.3048</f>
        <v>291.3888</v>
      </c>
      <c r="C37" s="149">
        <f>'Ballistics Table'!M30</f>
        <v>3.0294101961165887</v>
      </c>
      <c r="D37" s="150">
        <f>'Ballistics Table'!E30*2.54</f>
        <v>-3026.466212901179</v>
      </c>
      <c r="E37" s="151">
        <f>'Ballistics Table'!F30</f>
        <v>-77.05562388341463</v>
      </c>
      <c r="F37" s="153"/>
      <c r="G37" s="150">
        <f>'Ballistics Table'!I30*2.54</f>
        <v>693.9575246743318</v>
      </c>
      <c r="H37" s="152">
        <f>'Ballistics Table'!J30</f>
        <v>17.668569959388726</v>
      </c>
      <c r="I37" s="156"/>
    </row>
    <row r="38" spans="1:9" ht="27.75" customHeight="1">
      <c r="A38" s="147">
        <f>'Ballistics Table'!A31/1.094</f>
        <v>1400.0000000000007</v>
      </c>
      <c r="B38" s="148">
        <f>'Ballistics Table'!B31*0.3048</f>
        <v>285.5976</v>
      </c>
      <c r="C38" s="149">
        <f>'Ballistics Table'!M31</f>
        <v>3.2045436005989796</v>
      </c>
      <c r="D38" s="150">
        <f>'Ballistics Table'!E31*2.54</f>
        <v>-3381.0946515724013</v>
      </c>
      <c r="E38" s="151">
        <f>'Ballistics Table'!F31</f>
        <v>-83.0102215088607</v>
      </c>
      <c r="F38" s="147"/>
      <c r="G38" s="150">
        <f>'Ballistics Table'!I31*2.54</f>
        <v>750.0747622157703</v>
      </c>
      <c r="H38" s="152">
        <f>'Ballistics Table'!J31</f>
        <v>18.415299947542394</v>
      </c>
      <c r="I38" s="155"/>
    </row>
    <row r="39" spans="1:9" ht="27.75" customHeight="1">
      <c r="A39" s="147">
        <f>'Ballistics Table'!A32/1.094</f>
        <v>1450.0000000000007</v>
      </c>
      <c r="B39" s="148">
        <f>'Ballistics Table'!B32*0.3048</f>
        <v>280.1112</v>
      </c>
      <c r="C39" s="149">
        <f>'Ballistics Table'!M32</f>
        <v>3.3831072567469667</v>
      </c>
      <c r="D39" s="150">
        <f>'Ballistics Table'!E32*2.54</f>
        <v>-3765.502694668947</v>
      </c>
      <c r="E39" s="151">
        <f>'Ballistics Table'!F32</f>
        <v>-89.26007351593647</v>
      </c>
      <c r="F39" s="153"/>
      <c r="G39" s="150">
        <f>'Ballistics Table'!I32*2.54</f>
        <v>808.6056719880308</v>
      </c>
      <c r="H39" s="152">
        <f>'Ballistics Table'!J32</f>
        <v>19.167746667460662</v>
      </c>
      <c r="I39" s="156"/>
    </row>
    <row r="40" spans="1:9" ht="27.75" customHeight="1">
      <c r="A40" s="147">
        <f>'Ballistics Table'!A33/1.094</f>
        <v>1500.0000000000007</v>
      </c>
      <c r="B40" s="148">
        <f>'Ballistics Table'!B33*0.3048</f>
        <v>274.9296</v>
      </c>
      <c r="C40" s="149">
        <f>'Ballistics Table'!M33</f>
        <v>3.5650363033101597</v>
      </c>
      <c r="D40" s="150">
        <f>'Ballistics Table'!E33*2.54</f>
        <v>-4175.7857443136</v>
      </c>
      <c r="E40" s="151">
        <f>'Ballistics Table'!F33</f>
        <v>-95.68618242752336</v>
      </c>
      <c r="F40" s="147"/>
      <c r="G40" s="150">
        <f>'Ballistics Table'!I33*2.54</f>
        <v>868.4287939151426</v>
      </c>
      <c r="H40" s="152">
        <f>'Ballistics Table'!J33</f>
        <v>19.899640711460293</v>
      </c>
      <c r="I40" s="155"/>
    </row>
    <row r="41" spans="1:9" ht="27.75" customHeight="1">
      <c r="A41" s="147">
        <f>'Ballistics Table'!A34/1.094</f>
        <v>1550.0000000000007</v>
      </c>
      <c r="B41" s="148">
        <f>'Ballistics Table'!B34*0.3048</f>
        <v>269.748</v>
      </c>
      <c r="C41" s="149">
        <f>'Ballistics Table'!M34</f>
        <v>3.750460032123719</v>
      </c>
      <c r="D41" s="150">
        <f>'Ballistics Table'!E34*2.54</f>
        <v>-4636.272247845475</v>
      </c>
      <c r="E41" s="151">
        <f>'Ballistics Table'!F34</f>
        <v>-102.81098308074105</v>
      </c>
      <c r="F41" s="153"/>
      <c r="G41" s="150">
        <f>'Ballistics Table'!I34*2.54</f>
        <v>934.2538040266221</v>
      </c>
      <c r="H41" s="152">
        <f>'Ballistics Table'!J34</f>
        <v>20.717409786177935</v>
      </c>
      <c r="I41" s="156"/>
    </row>
    <row r="42" spans="1:9" ht="27.75" customHeight="1">
      <c r="A42" s="147">
        <f>'Ballistics Table'!A35/1.094</f>
        <v>1600.0000000000007</v>
      </c>
      <c r="B42" s="148">
        <f>'Ballistics Table'!B35*0.3048</f>
        <v>265.176</v>
      </c>
      <c r="C42" s="149">
        <f>'Ballistics Table'!M35</f>
        <v>3.939080721778892</v>
      </c>
      <c r="D42" s="150">
        <f>'Ballistics Table'!E35*2.54</f>
        <v>-5103.746989530242</v>
      </c>
      <c r="E42" s="151">
        <f>'Ballistics Table'!F35</f>
        <v>-109.64060764697213</v>
      </c>
      <c r="F42" s="147"/>
      <c r="G42" s="150">
        <f>'Ballistics Table'!I35*2.54</f>
        <v>996.9519828908509</v>
      </c>
      <c r="H42" s="152">
        <f>'Ballistics Table'!J35</f>
        <v>21.41689653175135</v>
      </c>
      <c r="I42" s="155"/>
    </row>
    <row r="43" spans="1:9" ht="27.75" customHeight="1">
      <c r="A43" s="147">
        <f>'Ballistics Table'!A36/1.094</f>
        <v>1650.000000000001</v>
      </c>
      <c r="B43" s="148">
        <f>'Ballistics Table'!B36*0.3048</f>
        <v>260.604</v>
      </c>
      <c r="C43" s="149">
        <f>'Ballistics Table'!M36</f>
        <v>4.1310105463402955</v>
      </c>
      <c r="D43" s="150">
        <f>'Ballistics Table'!E36*2.54</f>
        <v>-5618.233454798178</v>
      </c>
      <c r="E43" s="151">
        <f>'Ballistics Table'!F36</f>
        <v>-117.03563531470935</v>
      </c>
      <c r="F43" s="153"/>
      <c r="G43" s="150">
        <f>'Ballistics Table'!I36*2.54</f>
        <v>1064.3550845273223</v>
      </c>
      <c r="H43" s="152">
        <f>'Ballistics Table'!J36</f>
        <v>22.172000241768362</v>
      </c>
      <c r="I43" s="156"/>
    </row>
    <row r="44" spans="1:9" ht="27.75" customHeight="1">
      <c r="A44" s="147">
        <f>'Ballistics Table'!A37/1.094</f>
        <v>1700.000000000001</v>
      </c>
      <c r="B44" s="148">
        <f>'Ballistics Table'!B37*0.3048</f>
        <v>256.33680000000004</v>
      </c>
      <c r="C44" s="149">
        <f>'Ballistics Table'!M37</f>
        <v>4.3261353977077155</v>
      </c>
      <c r="D44" s="150">
        <f>'Ballistics Table'!E37*2.54</f>
        <v>-6149.775339844773</v>
      </c>
      <c r="E44" s="151">
        <f>'Ballistics Table'!F37</f>
        <v>-124.34049987400816</v>
      </c>
      <c r="F44" s="147"/>
      <c r="G44" s="150">
        <f>'Ballistics Table'!I37*2.54</f>
        <v>1130.6363030227906</v>
      </c>
      <c r="H44" s="152">
        <f>'Ballistics Table'!J37</f>
        <v>22.86000306103911</v>
      </c>
      <c r="I44" s="155"/>
    </row>
    <row r="45" spans="1:9" ht="27.75" customHeight="1">
      <c r="A45" s="147">
        <f>'Ballistics Table'!A38/1.094</f>
        <v>1750.000000000001</v>
      </c>
      <c r="B45" s="148">
        <f>'Ballistics Table'!B38*0.3048</f>
        <v>252.0696</v>
      </c>
      <c r="C45" s="149">
        <f>'Ballistics Table'!M38</f>
        <v>4.524563450912069</v>
      </c>
      <c r="D45" s="150">
        <f>'Ballistics Table'!E38*2.54</f>
        <v>-6734.924621498837</v>
      </c>
      <c r="E45" s="151">
        <f>'Ballistics Table'!F38</f>
        <v>-132.28084801851972</v>
      </c>
      <c r="F45" s="153"/>
      <c r="G45" s="150">
        <f>'Ballistics Table'!I38*2.54</f>
        <v>1202.0666625248825</v>
      </c>
      <c r="H45" s="152">
        <f>'Ballistics Table'!J38</f>
        <v>23.60982585996574</v>
      </c>
      <c r="I45" s="156"/>
    </row>
    <row r="46" spans="1:9" ht="27.75" customHeight="1">
      <c r="A46" s="147">
        <f>'Ballistics Table'!A39/1.094</f>
        <v>1800.000000000001</v>
      </c>
      <c r="B46" s="148">
        <f>'Ballistics Table'!B39*0.3048</f>
        <v>248.1072</v>
      </c>
      <c r="C46" s="149">
        <f>'Ballistics Table'!M39</f>
        <v>4.726160502509121</v>
      </c>
      <c r="D46" s="150">
        <f>'Ballistics Table'!E39*2.54</f>
        <v>-7329.082104262298</v>
      </c>
      <c r="E46" s="151">
        <f>'Ballistics Table'!F39</f>
        <v>-139.9520813158193</v>
      </c>
      <c r="F46" s="147"/>
      <c r="G46" s="150">
        <f>'Ballistics Table'!I39*2.54</f>
        <v>1270.903955741223</v>
      </c>
      <c r="H46" s="152">
        <f>'Ballistics Table'!J39</f>
        <v>24.26847608311723</v>
      </c>
      <c r="I46" s="155"/>
    </row>
    <row r="47" spans="1:9" ht="27.75" customHeight="1">
      <c r="A47" s="147">
        <f>'Ballistics Table'!A40/1.094</f>
        <v>1850.000000000001</v>
      </c>
      <c r="B47" s="148">
        <f>'Ballistics Table'!B40*0.3048</f>
        <v>244.1448</v>
      </c>
      <c r="C47" s="149">
        <f>'Ballistics Table'!M40</f>
        <v>4.9310294163667985</v>
      </c>
      <c r="D47" s="150">
        <f>'Ballistics Table'!E40*2.54</f>
        <v>-7975.750456525329</v>
      </c>
      <c r="E47" s="151">
        <f>'Ballistics Table'!F40</f>
        <v>-148.18427125612496</v>
      </c>
      <c r="F47" s="153"/>
      <c r="G47" s="150">
        <f>'Ballistics Table'!I40*2.54</f>
        <v>1344.1810695193965</v>
      </c>
      <c r="H47" s="152">
        <f>'Ballistics Table'!J40</f>
        <v>24.974012578345747</v>
      </c>
      <c r="I47" s="156"/>
    </row>
    <row r="48" spans="1:9" ht="27.75" customHeight="1">
      <c r="A48" s="147">
        <f>'Ballistics Table'!A41/1.094</f>
        <v>1900.000000000001</v>
      </c>
      <c r="B48" s="148">
        <f>'Ballistics Table'!B41*0.3048</f>
        <v>240.4872</v>
      </c>
      <c r="C48" s="149">
        <f>'Ballistics Table'!M41</f>
        <v>5.139014207241323</v>
      </c>
      <c r="D48" s="150">
        <f>'Ballistics Table'!E41*2.54</f>
        <v>-8621.581950080628</v>
      </c>
      <c r="E48" s="151">
        <f>'Ballistics Table'!F41</f>
        <v>-155.96804891516717</v>
      </c>
      <c r="F48" s="147"/>
      <c r="G48" s="150">
        <f>'Ballistics Table'!I41*2.54</f>
        <v>1413.4990183774094</v>
      </c>
      <c r="H48" s="152">
        <f>'Ballistics Table'!J41</f>
        <v>25.570792612806617</v>
      </c>
      <c r="I48" s="155"/>
    </row>
    <row r="49" spans="1:9" ht="27.75" customHeight="1">
      <c r="A49" s="147">
        <f>'Ballistics Table'!A42/1.094</f>
        <v>1950.000000000001</v>
      </c>
      <c r="B49" s="148">
        <f>'Ballistics Table'!B42*0.3048</f>
        <v>236.8296</v>
      </c>
      <c r="C49" s="149">
        <f>'Ballistics Table'!M42</f>
        <v>5.350211118438233</v>
      </c>
      <c r="D49" s="150">
        <f>'Ballistics Table'!E42*2.54</f>
        <v>-9331.077512411313</v>
      </c>
      <c r="E49" s="151">
        <f>'Ballistics Table'!F42</f>
        <v>-164.47483728777192</v>
      </c>
      <c r="F49" s="153"/>
      <c r="G49" s="150">
        <f>'Ballistics Table'!I42*2.54</f>
        <v>1488.4731318260715</v>
      </c>
      <c r="H49" s="152">
        <f>'Ballistics Table'!J42</f>
        <v>26.23666729149789</v>
      </c>
      <c r="I49" s="156"/>
    </row>
    <row r="50" spans="1:9" ht="27.75" customHeight="1">
      <c r="A50" s="147">
        <f>'Ballistics Table'!A43/1.094</f>
        <v>2000.0000000000007</v>
      </c>
      <c r="B50" s="148">
        <f>'Ballistics Table'!B43*0.3048</f>
        <v>233.17200000000003</v>
      </c>
      <c r="C50" s="149">
        <f>'Ballistics Table'!M43</f>
        <v>5.564720922359801</v>
      </c>
      <c r="D50" s="150">
        <f>'Ballistics Table'!E43*2.54</f>
        <v>-10096.275148550269</v>
      </c>
      <c r="E50" s="151">
        <f>'Ballistics Table'!F43</f>
        <v>-173.51357651997748</v>
      </c>
      <c r="F50" s="147"/>
      <c r="G50" s="150">
        <f>'Ballistics Table'!I43*2.54</f>
        <v>1567.4858804510563</v>
      </c>
      <c r="H50" s="152">
        <f>'Ballistics Table'!J43</f>
        <v>26.938655817109186</v>
      </c>
      <c r="I50" s="155"/>
    </row>
    <row r="51" spans="1:9" ht="27.75" customHeight="1">
      <c r="A51" s="132"/>
      <c r="B51" s="132"/>
      <c r="C51" s="132"/>
      <c r="D51" s="132"/>
      <c r="E51" s="132"/>
      <c r="F51" s="132"/>
      <c r="G51" s="132"/>
      <c r="H51" s="139"/>
      <c r="I51" s="132"/>
    </row>
    <row r="52" spans="1:9" ht="27.75" customHeight="1">
      <c r="A52" s="132"/>
      <c r="B52" s="132"/>
      <c r="C52" s="132"/>
      <c r="D52" s="133"/>
      <c r="E52" s="132"/>
      <c r="F52" s="132"/>
      <c r="G52" s="132"/>
      <c r="H52" s="132"/>
      <c r="I52" s="132"/>
    </row>
    <row r="53" spans="1:9" ht="27.75" customHeight="1">
      <c r="A53" s="117"/>
      <c r="B53" s="117"/>
      <c r="C53" s="117"/>
      <c r="D53" s="117"/>
      <c r="E53" s="117"/>
      <c r="F53" s="117"/>
      <c r="G53" s="117"/>
      <c r="H53" s="117"/>
      <c r="I53" s="117"/>
    </row>
    <row r="54" spans="1:9" ht="15">
      <c r="A54" s="117"/>
      <c r="B54" s="117"/>
      <c r="C54" s="117"/>
      <c r="D54" s="117"/>
      <c r="E54" s="117"/>
      <c r="F54" s="117"/>
      <c r="G54" s="117"/>
      <c r="H54" s="117"/>
      <c r="I54" s="117"/>
    </row>
  </sheetData>
  <sheetProtection/>
  <mergeCells count="6">
    <mergeCell ref="A4:I4"/>
    <mergeCell ref="A8:A10"/>
    <mergeCell ref="B8:B10"/>
    <mergeCell ref="C8:C10"/>
    <mergeCell ref="D8:F9"/>
    <mergeCell ref="G8:I9"/>
  </mergeCells>
  <printOptions/>
  <pageMargins left="0.3937007874015748" right="0.3937007874015748" top="0.1968503937007874" bottom="0.1968503937007874" header="0" footer="0"/>
  <pageSetup horizontalDpi="1200" verticalDpi="1200" orientation="portrait" paperSize="9" scale="51" r:id="rId3"/>
  <rowBreaks count="1" manualBreakCount="1">
    <brk id="30" max="14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K469"/>
  <sheetViews>
    <sheetView zoomScalePageLayoutView="0" workbookViewId="0" topLeftCell="C1">
      <selection activeCell="H1" sqref="H1:H16384"/>
    </sheetView>
  </sheetViews>
  <sheetFormatPr defaultColWidth="11.00390625" defaultRowHeight="12.75"/>
  <cols>
    <col min="2" max="2" width="8.50390625" style="0" customWidth="1"/>
    <col min="3" max="3" width="36.00390625" style="0" customWidth="1"/>
    <col min="4" max="4" width="25.50390625" style="0" customWidth="1"/>
  </cols>
  <sheetData>
    <row r="1" spans="1:11" ht="12.75">
      <c r="A1" s="124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2.75">
      <c r="A2" s="124">
        <v>2</v>
      </c>
      <c r="B2" s="124" t="s">
        <v>80</v>
      </c>
      <c r="C2" s="124" t="s">
        <v>355</v>
      </c>
      <c r="D2" s="124" t="s">
        <v>781</v>
      </c>
      <c r="E2" s="124">
        <v>55</v>
      </c>
      <c r="F2" s="124" t="s">
        <v>80</v>
      </c>
      <c r="G2" s="124">
        <v>0.18</v>
      </c>
      <c r="H2" s="124" t="s">
        <v>809</v>
      </c>
      <c r="I2" s="124"/>
      <c r="J2" s="124"/>
      <c r="K2" s="124"/>
    </row>
    <row r="3" spans="1:11" ht="12.75">
      <c r="A3" s="124">
        <v>3</v>
      </c>
      <c r="B3" s="124" t="s">
        <v>80</v>
      </c>
      <c r="C3" s="124" t="s">
        <v>356</v>
      </c>
      <c r="D3" s="124" t="s">
        <v>81</v>
      </c>
      <c r="E3" s="124">
        <v>58</v>
      </c>
      <c r="F3" s="124" t="s">
        <v>80</v>
      </c>
      <c r="G3" s="124">
        <v>0.25</v>
      </c>
      <c r="H3" s="124" t="s">
        <v>810</v>
      </c>
      <c r="I3" s="124"/>
      <c r="J3" s="124"/>
      <c r="K3" s="124"/>
    </row>
    <row r="4" spans="1:11" ht="12.75">
      <c r="A4" s="124">
        <v>4</v>
      </c>
      <c r="B4" s="124" t="s">
        <v>80</v>
      </c>
      <c r="C4" s="124" t="s">
        <v>357</v>
      </c>
      <c r="D4" s="124" t="s">
        <v>82</v>
      </c>
      <c r="E4" s="124">
        <v>60</v>
      </c>
      <c r="F4" s="124" t="s">
        <v>80</v>
      </c>
      <c r="G4" s="124">
        <v>0.207</v>
      </c>
      <c r="H4" s="124" t="s">
        <v>811</v>
      </c>
      <c r="I4" s="124"/>
      <c r="J4" s="124"/>
      <c r="K4" s="124"/>
    </row>
    <row r="5" spans="1:11" ht="12.75">
      <c r="A5" s="124">
        <v>5</v>
      </c>
      <c r="B5" s="124" t="s">
        <v>80</v>
      </c>
      <c r="C5" s="124" t="s">
        <v>793</v>
      </c>
      <c r="D5" s="124" t="s">
        <v>83</v>
      </c>
      <c r="E5" s="124">
        <v>60</v>
      </c>
      <c r="F5" s="124" t="s">
        <v>80</v>
      </c>
      <c r="G5" s="124">
        <v>0.179</v>
      </c>
      <c r="H5" s="124" t="s">
        <v>812</v>
      </c>
      <c r="I5" s="124"/>
      <c r="J5" s="124"/>
      <c r="K5" s="124"/>
    </row>
    <row r="6" spans="1:11" ht="12.75">
      <c r="A6" s="124">
        <v>6</v>
      </c>
      <c r="B6" s="124" t="s">
        <v>80</v>
      </c>
      <c r="C6" s="124" t="s">
        <v>627</v>
      </c>
      <c r="D6" s="124" t="s">
        <v>84</v>
      </c>
      <c r="E6" s="124">
        <v>62</v>
      </c>
      <c r="F6" s="124" t="s">
        <v>80</v>
      </c>
      <c r="G6" s="124">
        <v>0.252</v>
      </c>
      <c r="H6" s="124" t="s">
        <v>813</v>
      </c>
      <c r="I6" s="124"/>
      <c r="J6" s="124"/>
      <c r="K6" s="124"/>
    </row>
    <row r="7" spans="1:11" ht="12.75">
      <c r="A7" s="124">
        <v>7</v>
      </c>
      <c r="B7" s="124" t="s">
        <v>80</v>
      </c>
      <c r="C7" s="124" t="s">
        <v>628</v>
      </c>
      <c r="D7" s="124" t="s">
        <v>82</v>
      </c>
      <c r="E7" s="124">
        <v>62</v>
      </c>
      <c r="F7" s="124" t="s">
        <v>80</v>
      </c>
      <c r="G7" s="124">
        <v>0.217</v>
      </c>
      <c r="H7" s="124" t="s">
        <v>814</v>
      </c>
      <c r="I7" s="124"/>
      <c r="J7" s="124"/>
      <c r="K7" s="124"/>
    </row>
    <row r="8" spans="1:11" ht="12.75">
      <c r="A8" s="124">
        <v>8</v>
      </c>
      <c r="B8" s="124" t="s">
        <v>80</v>
      </c>
      <c r="C8" s="124" t="s">
        <v>629</v>
      </c>
      <c r="D8" s="124" t="s">
        <v>85</v>
      </c>
      <c r="E8" s="124">
        <v>65</v>
      </c>
      <c r="F8" s="124" t="s">
        <v>80</v>
      </c>
      <c r="G8" s="124">
        <v>0.26</v>
      </c>
      <c r="H8" s="124" t="s">
        <v>815</v>
      </c>
      <c r="I8" s="124"/>
      <c r="J8" s="124"/>
      <c r="K8" s="124"/>
    </row>
    <row r="9" spans="1:11" ht="12.75">
      <c r="A9" s="124">
        <v>9</v>
      </c>
      <c r="B9" s="124" t="s">
        <v>80</v>
      </c>
      <c r="C9" s="124" t="s">
        <v>630</v>
      </c>
      <c r="D9" s="124" t="s">
        <v>84</v>
      </c>
      <c r="E9" s="124">
        <v>65</v>
      </c>
      <c r="F9" s="124" t="s">
        <v>80</v>
      </c>
      <c r="G9" s="124">
        <v>0.259</v>
      </c>
      <c r="H9" s="124" t="s">
        <v>816</v>
      </c>
      <c r="I9" s="124"/>
      <c r="J9" s="124"/>
      <c r="K9" s="124"/>
    </row>
    <row r="10" spans="1:11" ht="12.75">
      <c r="A10" s="124">
        <v>10</v>
      </c>
      <c r="B10" s="124" t="s">
        <v>80</v>
      </c>
      <c r="C10" s="124" t="s">
        <v>631</v>
      </c>
      <c r="D10" s="124" t="s">
        <v>82</v>
      </c>
      <c r="E10" s="124">
        <v>65</v>
      </c>
      <c r="F10" s="124" t="s">
        <v>80</v>
      </c>
      <c r="G10" s="124">
        <v>0.229</v>
      </c>
      <c r="H10" s="124" t="s">
        <v>817</v>
      </c>
      <c r="I10" s="124"/>
      <c r="J10" s="124"/>
      <c r="K10" s="124"/>
    </row>
    <row r="11" spans="1:11" ht="12.75">
      <c r="A11" s="124">
        <v>11</v>
      </c>
      <c r="B11" s="124" t="s">
        <v>80</v>
      </c>
      <c r="C11" s="124" t="s">
        <v>632</v>
      </c>
      <c r="D11" s="124" t="s">
        <v>85</v>
      </c>
      <c r="E11" s="124">
        <v>65</v>
      </c>
      <c r="F11" s="124" t="s">
        <v>80</v>
      </c>
      <c r="G11" s="124">
        <v>0.265</v>
      </c>
      <c r="H11" s="124" t="s">
        <v>818</v>
      </c>
      <c r="I11" s="124"/>
      <c r="J11" s="124"/>
      <c r="K11" s="124"/>
    </row>
    <row r="12" spans="1:11" ht="12.75">
      <c r="A12" s="124">
        <v>12</v>
      </c>
      <c r="B12" s="124" t="s">
        <v>80</v>
      </c>
      <c r="C12" s="124" t="s">
        <v>791</v>
      </c>
      <c r="D12" s="124" t="s">
        <v>792</v>
      </c>
      <c r="E12" s="124">
        <v>65</v>
      </c>
      <c r="F12" s="124" t="s">
        <v>80</v>
      </c>
      <c r="G12" s="124">
        <v>0.281</v>
      </c>
      <c r="H12" s="124" t="s">
        <v>819</v>
      </c>
      <c r="I12" s="124"/>
      <c r="J12" s="124"/>
      <c r="K12" s="124"/>
    </row>
    <row r="13" spans="1:11" ht="12.75">
      <c r="A13" s="124">
        <v>13</v>
      </c>
      <c r="B13" s="124" t="s">
        <v>80</v>
      </c>
      <c r="C13" s="124" t="s">
        <v>790</v>
      </c>
      <c r="D13" s="124" t="s">
        <v>88</v>
      </c>
      <c r="E13" s="124">
        <v>65</v>
      </c>
      <c r="F13" s="124" t="s">
        <v>80</v>
      </c>
      <c r="G13" s="124">
        <v>0.258</v>
      </c>
      <c r="H13" s="124" t="s">
        <v>820</v>
      </c>
      <c r="I13" s="124"/>
      <c r="J13" s="124"/>
      <c r="K13" s="124"/>
    </row>
    <row r="14" spans="1:11" ht="12.75">
      <c r="A14" s="124">
        <v>14</v>
      </c>
      <c r="B14" s="124" t="s">
        <v>80</v>
      </c>
      <c r="C14" s="124" t="s">
        <v>633</v>
      </c>
      <c r="D14" s="124" t="s">
        <v>89</v>
      </c>
      <c r="E14" s="124">
        <v>65</v>
      </c>
      <c r="F14" s="124" t="s">
        <v>80</v>
      </c>
      <c r="G14" s="124">
        <v>0.281</v>
      </c>
      <c r="H14" s="124" t="s">
        <v>821</v>
      </c>
      <c r="I14" s="124"/>
      <c r="J14" s="124"/>
      <c r="K14" s="124"/>
    </row>
    <row r="15" spans="1:11" ht="12.75">
      <c r="A15" s="124">
        <v>15</v>
      </c>
      <c r="B15" s="124" t="s">
        <v>80</v>
      </c>
      <c r="C15" s="124" t="s">
        <v>634</v>
      </c>
      <c r="D15" s="124" t="s">
        <v>90</v>
      </c>
      <c r="E15" s="124">
        <v>65</v>
      </c>
      <c r="F15" s="124" t="s">
        <v>80</v>
      </c>
      <c r="G15" s="124">
        <v>0.28</v>
      </c>
      <c r="H15" s="124" t="s">
        <v>822</v>
      </c>
      <c r="I15" s="124"/>
      <c r="J15" s="124"/>
      <c r="K15" s="124"/>
    </row>
    <row r="16" spans="1:11" ht="12.75">
      <c r="A16" s="124">
        <v>16</v>
      </c>
      <c r="B16" s="124" t="s">
        <v>80</v>
      </c>
      <c r="C16" s="124" t="s">
        <v>789</v>
      </c>
      <c r="D16" s="124" t="s">
        <v>782</v>
      </c>
      <c r="E16" s="124">
        <v>66</v>
      </c>
      <c r="F16" s="124" t="s">
        <v>80</v>
      </c>
      <c r="G16" s="124">
        <v>0.303</v>
      </c>
      <c r="H16" s="124" t="s">
        <v>823</v>
      </c>
      <c r="I16" s="124"/>
      <c r="J16" s="124"/>
      <c r="K16" s="124"/>
    </row>
    <row r="17" spans="1:11" ht="12.75">
      <c r="A17" s="124">
        <v>17</v>
      </c>
      <c r="B17" s="124" t="s">
        <v>80</v>
      </c>
      <c r="C17" s="124" t="s">
        <v>635</v>
      </c>
      <c r="D17" s="124" t="s">
        <v>84</v>
      </c>
      <c r="E17" s="124">
        <v>68</v>
      </c>
      <c r="F17" s="124" t="s">
        <v>80</v>
      </c>
      <c r="G17" s="124">
        <v>0.271</v>
      </c>
      <c r="H17" s="124" t="s">
        <v>824</v>
      </c>
      <c r="I17" s="124"/>
      <c r="J17" s="124"/>
      <c r="K17" s="124"/>
    </row>
    <row r="18" spans="1:11" ht="12.75">
      <c r="A18" s="124">
        <v>18</v>
      </c>
      <c r="B18" s="124" t="s">
        <v>80</v>
      </c>
      <c r="C18" s="124" t="s">
        <v>636</v>
      </c>
      <c r="D18" s="124" t="s">
        <v>82</v>
      </c>
      <c r="E18" s="124">
        <v>68</v>
      </c>
      <c r="F18" s="124" t="s">
        <v>80</v>
      </c>
      <c r="G18" s="124">
        <v>0.24</v>
      </c>
      <c r="H18" s="124" t="s">
        <v>825</v>
      </c>
      <c r="I18" s="124"/>
      <c r="J18" s="124"/>
      <c r="K18" s="124"/>
    </row>
    <row r="19" spans="1:11" ht="12.75">
      <c r="A19" s="124">
        <v>19</v>
      </c>
      <c r="B19" s="124" t="s">
        <v>80</v>
      </c>
      <c r="C19" s="124" t="s">
        <v>637</v>
      </c>
      <c r="D19" s="124" t="s">
        <v>85</v>
      </c>
      <c r="E19" s="124">
        <v>68</v>
      </c>
      <c r="F19" s="124" t="s">
        <v>80</v>
      </c>
      <c r="G19" s="124">
        <v>0.278</v>
      </c>
      <c r="H19" s="124" t="s">
        <v>826</v>
      </c>
      <c r="I19" s="124"/>
      <c r="J19" s="124"/>
      <c r="K19" s="124"/>
    </row>
    <row r="20" spans="1:11" ht="12.75">
      <c r="A20" s="124">
        <v>20</v>
      </c>
      <c r="B20" s="124" t="s">
        <v>80</v>
      </c>
      <c r="C20" s="124" t="s">
        <v>788</v>
      </c>
      <c r="D20" s="124" t="s">
        <v>782</v>
      </c>
      <c r="E20" s="124">
        <v>69</v>
      </c>
      <c r="F20" s="124" t="s">
        <v>80</v>
      </c>
      <c r="G20" s="124">
        <v>0.315</v>
      </c>
      <c r="H20" s="124" t="s">
        <v>827</v>
      </c>
      <c r="I20" s="124"/>
      <c r="J20" s="124"/>
      <c r="K20" s="124"/>
    </row>
    <row r="21" spans="1:11" ht="12.75">
      <c r="A21" s="124">
        <v>21</v>
      </c>
      <c r="B21" s="124" t="s">
        <v>80</v>
      </c>
      <c r="C21" s="124" t="s">
        <v>638</v>
      </c>
      <c r="D21" s="124" t="s">
        <v>964</v>
      </c>
      <c r="E21" s="124">
        <v>70</v>
      </c>
      <c r="F21" s="124" t="s">
        <v>80</v>
      </c>
      <c r="G21" s="124">
        <v>0.278</v>
      </c>
      <c r="H21" s="124" t="s">
        <v>828</v>
      </c>
      <c r="I21" s="124"/>
      <c r="J21" s="124"/>
      <c r="K21" s="124"/>
    </row>
    <row r="22" spans="1:11" ht="12.75">
      <c r="A22" s="124">
        <v>22</v>
      </c>
      <c r="B22" s="124" t="s">
        <v>80</v>
      </c>
      <c r="C22" s="124" t="s">
        <v>639</v>
      </c>
      <c r="D22" s="124" t="s">
        <v>82</v>
      </c>
      <c r="E22" s="124">
        <v>70</v>
      </c>
      <c r="F22" s="124" t="s">
        <v>80</v>
      </c>
      <c r="G22" s="124">
        <v>0.243</v>
      </c>
      <c r="H22" s="124" t="s">
        <v>829</v>
      </c>
      <c r="I22" s="124"/>
      <c r="J22" s="124"/>
      <c r="K22" s="124"/>
    </row>
    <row r="23" spans="1:11" ht="12.75">
      <c r="A23" s="124">
        <v>23</v>
      </c>
      <c r="B23" s="124" t="s">
        <v>80</v>
      </c>
      <c r="C23" s="124" t="s">
        <v>640</v>
      </c>
      <c r="D23" s="124" t="s">
        <v>783</v>
      </c>
      <c r="E23" s="124">
        <v>70</v>
      </c>
      <c r="F23" s="124" t="s">
        <v>80</v>
      </c>
      <c r="G23" s="124">
        <v>0.269</v>
      </c>
      <c r="H23" s="124" t="s">
        <v>830</v>
      </c>
      <c r="I23" s="124"/>
      <c r="J23" s="124"/>
      <c r="K23" s="124"/>
    </row>
    <row r="24" spans="1:11" ht="12.75">
      <c r="A24" s="124">
        <v>24</v>
      </c>
      <c r="B24" s="124" t="s">
        <v>80</v>
      </c>
      <c r="C24" s="124" t="s">
        <v>787</v>
      </c>
      <c r="D24" s="124" t="s">
        <v>784</v>
      </c>
      <c r="E24" s="124">
        <v>70</v>
      </c>
      <c r="F24" s="124" t="s">
        <v>80</v>
      </c>
      <c r="G24" s="124">
        <v>0.269</v>
      </c>
      <c r="H24" s="124" t="s">
        <v>831</v>
      </c>
      <c r="I24" s="124"/>
      <c r="J24" s="124"/>
      <c r="K24" s="124"/>
    </row>
    <row r="25" spans="1:11" ht="12.75">
      <c r="A25" s="124">
        <v>25</v>
      </c>
      <c r="B25" s="124" t="s">
        <v>80</v>
      </c>
      <c r="C25" s="124" t="s">
        <v>786</v>
      </c>
      <c r="D25" s="124" t="s">
        <v>785</v>
      </c>
      <c r="E25" s="124">
        <v>70</v>
      </c>
      <c r="F25" s="124" t="s">
        <v>80</v>
      </c>
      <c r="G25" s="124">
        <v>0.321</v>
      </c>
      <c r="H25" s="124" t="s">
        <v>832</v>
      </c>
      <c r="I25" s="124"/>
      <c r="J25" s="124"/>
      <c r="K25" s="124"/>
    </row>
    <row r="26" spans="1:11" ht="12.75">
      <c r="A26" s="124">
        <v>26</v>
      </c>
      <c r="B26" s="124" t="s">
        <v>80</v>
      </c>
      <c r="C26" s="124" t="s">
        <v>641</v>
      </c>
      <c r="D26" s="124" t="s">
        <v>91</v>
      </c>
      <c r="E26" s="124">
        <v>70</v>
      </c>
      <c r="F26" s="124" t="s">
        <v>80</v>
      </c>
      <c r="G26" s="124">
        <v>0.255</v>
      </c>
      <c r="H26" s="124" t="s">
        <v>833</v>
      </c>
      <c r="I26" s="124"/>
      <c r="J26" s="124"/>
      <c r="K26" s="124"/>
    </row>
    <row r="27" spans="1:11" ht="12.75">
      <c r="A27" s="124">
        <v>27</v>
      </c>
      <c r="B27" s="124" t="s">
        <v>80</v>
      </c>
      <c r="C27" s="124" t="s">
        <v>642</v>
      </c>
      <c r="D27" s="124" t="s">
        <v>87</v>
      </c>
      <c r="E27" s="124">
        <v>71</v>
      </c>
      <c r="F27" s="124" t="s">
        <v>80</v>
      </c>
      <c r="G27" s="124">
        <v>0.312</v>
      </c>
      <c r="H27" s="124" t="s">
        <v>834</v>
      </c>
      <c r="I27" s="124"/>
      <c r="J27" s="124"/>
      <c r="K27" s="124"/>
    </row>
    <row r="28" spans="1:11" ht="12.75">
      <c r="A28" s="124">
        <v>28</v>
      </c>
      <c r="B28" s="124" t="s">
        <v>80</v>
      </c>
      <c r="C28" s="124" t="s">
        <v>643</v>
      </c>
      <c r="D28" s="124" t="s">
        <v>92</v>
      </c>
      <c r="E28" s="124">
        <v>71</v>
      </c>
      <c r="F28" s="124" t="s">
        <v>80</v>
      </c>
      <c r="G28" s="124">
        <v>0.282</v>
      </c>
      <c r="H28" s="124" t="s">
        <v>835</v>
      </c>
      <c r="I28" s="124"/>
      <c r="J28" s="124"/>
      <c r="K28" s="124"/>
    </row>
    <row r="29" spans="1:11" ht="12.75">
      <c r="A29" s="124">
        <v>29</v>
      </c>
      <c r="B29" s="124" t="s">
        <v>80</v>
      </c>
      <c r="C29" s="124" t="s">
        <v>644</v>
      </c>
      <c r="D29" s="124" t="s">
        <v>84</v>
      </c>
      <c r="E29" s="124">
        <v>74</v>
      </c>
      <c r="F29" s="124" t="s">
        <v>80</v>
      </c>
      <c r="G29" s="124">
        <v>0.287</v>
      </c>
      <c r="H29" s="124" t="s">
        <v>836</v>
      </c>
      <c r="I29" s="124"/>
      <c r="J29" s="124"/>
      <c r="K29" s="124"/>
    </row>
    <row r="30" spans="1:11" ht="12.75">
      <c r="A30" s="124">
        <v>30</v>
      </c>
      <c r="B30" s="124" t="s">
        <v>80</v>
      </c>
      <c r="C30" s="124" t="s">
        <v>645</v>
      </c>
      <c r="D30" s="124" t="s">
        <v>82</v>
      </c>
      <c r="E30" s="124">
        <v>74</v>
      </c>
      <c r="F30" s="124" t="s">
        <v>80</v>
      </c>
      <c r="G30" s="124">
        <v>0.25</v>
      </c>
      <c r="H30" s="124" t="s">
        <v>837</v>
      </c>
      <c r="I30" s="124"/>
      <c r="J30" s="124"/>
      <c r="K30" s="124"/>
    </row>
    <row r="31" spans="1:11" ht="12.75">
      <c r="A31" s="124">
        <v>31</v>
      </c>
      <c r="B31" s="124" t="s">
        <v>80</v>
      </c>
      <c r="C31" s="124" t="s">
        <v>646</v>
      </c>
      <c r="D31" s="124" t="s">
        <v>93</v>
      </c>
      <c r="E31" s="124">
        <v>75</v>
      </c>
      <c r="F31" s="124" t="s">
        <v>80</v>
      </c>
      <c r="G31" s="124">
        <v>0.33</v>
      </c>
      <c r="H31" s="124" t="s">
        <v>838</v>
      </c>
      <c r="I31" s="124"/>
      <c r="J31" s="124"/>
      <c r="K31" s="124"/>
    </row>
    <row r="32" spans="1:11" ht="12.75">
      <c r="A32" s="124">
        <v>32</v>
      </c>
      <c r="B32" s="124" t="s">
        <v>80</v>
      </c>
      <c r="C32" s="124" t="s">
        <v>647</v>
      </c>
      <c r="D32" s="124" t="s">
        <v>94</v>
      </c>
      <c r="E32" s="124">
        <v>75</v>
      </c>
      <c r="F32" s="124" t="s">
        <v>80</v>
      </c>
      <c r="G32" s="124">
        <v>0.294</v>
      </c>
      <c r="H32" s="124" t="s">
        <v>839</v>
      </c>
      <c r="I32" s="124"/>
      <c r="J32" s="124"/>
      <c r="K32" s="124"/>
    </row>
    <row r="33" spans="1:11" ht="12.75">
      <c r="A33" s="124">
        <v>33</v>
      </c>
      <c r="B33" s="124" t="s">
        <v>80</v>
      </c>
      <c r="C33" s="124" t="s">
        <v>648</v>
      </c>
      <c r="D33" s="124" t="s">
        <v>95</v>
      </c>
      <c r="E33" s="124">
        <v>75</v>
      </c>
      <c r="F33" s="124" t="s">
        <v>80</v>
      </c>
      <c r="G33" s="124">
        <v>0.213</v>
      </c>
      <c r="H33" s="124" t="s">
        <v>840</v>
      </c>
      <c r="I33" s="124"/>
      <c r="J33" s="124"/>
      <c r="K33" s="124"/>
    </row>
    <row r="34" spans="1:11" ht="12.75">
      <c r="A34" s="124">
        <v>34</v>
      </c>
      <c r="B34" s="124" t="s">
        <v>80</v>
      </c>
      <c r="C34" s="124" t="s">
        <v>649</v>
      </c>
      <c r="D34" s="124" t="s">
        <v>96</v>
      </c>
      <c r="E34" s="124">
        <v>77</v>
      </c>
      <c r="F34" s="124" t="s">
        <v>80</v>
      </c>
      <c r="G34" s="124">
        <v>0.34</v>
      </c>
      <c r="H34" s="124" t="s">
        <v>841</v>
      </c>
      <c r="I34" s="124"/>
      <c r="J34" s="124"/>
      <c r="K34" s="124"/>
    </row>
    <row r="35" spans="1:11" ht="12.75">
      <c r="A35" s="124">
        <v>35</v>
      </c>
      <c r="B35" s="124" t="s">
        <v>80</v>
      </c>
      <c r="C35" s="124" t="s">
        <v>650</v>
      </c>
      <c r="D35" s="124" t="s">
        <v>84</v>
      </c>
      <c r="E35" s="124">
        <v>80</v>
      </c>
      <c r="F35" s="124" t="s">
        <v>80</v>
      </c>
      <c r="G35" s="124">
        <v>0.308</v>
      </c>
      <c r="H35" s="124" t="s">
        <v>358</v>
      </c>
      <c r="I35" s="124"/>
      <c r="J35" s="124"/>
      <c r="K35" s="124"/>
    </row>
    <row r="36" spans="1:11" ht="12.75">
      <c r="A36" s="124">
        <v>36</v>
      </c>
      <c r="B36" s="124" t="s">
        <v>80</v>
      </c>
      <c r="C36" s="124" t="s">
        <v>651</v>
      </c>
      <c r="D36" s="124" t="s">
        <v>82</v>
      </c>
      <c r="E36" s="124">
        <v>80</v>
      </c>
      <c r="F36" s="124" t="s">
        <v>80</v>
      </c>
      <c r="G36" s="124">
        <v>0.273</v>
      </c>
      <c r="H36" s="124" t="s">
        <v>359</v>
      </c>
      <c r="I36" s="124"/>
      <c r="J36" s="124"/>
      <c r="K36" s="124"/>
    </row>
    <row r="37" spans="1:11" ht="12.75">
      <c r="A37" s="124">
        <v>37</v>
      </c>
      <c r="B37" s="124" t="s">
        <v>80</v>
      </c>
      <c r="C37" s="124" t="s">
        <v>652</v>
      </c>
      <c r="D37" s="124" t="s">
        <v>98</v>
      </c>
      <c r="E37" s="124">
        <v>80</v>
      </c>
      <c r="F37" s="124" t="s">
        <v>80</v>
      </c>
      <c r="G37" s="124">
        <v>0.261</v>
      </c>
      <c r="H37" s="124" t="s">
        <v>360</v>
      </c>
      <c r="I37" s="124"/>
      <c r="J37" s="124"/>
      <c r="K37" s="124"/>
    </row>
    <row r="38" spans="1:11" ht="12.75">
      <c r="A38" s="124">
        <v>38</v>
      </c>
      <c r="B38" s="124" t="s">
        <v>80</v>
      </c>
      <c r="C38" s="124" t="s">
        <v>653</v>
      </c>
      <c r="D38" s="124" t="s">
        <v>99</v>
      </c>
      <c r="E38" s="124">
        <v>80</v>
      </c>
      <c r="F38" s="124" t="s">
        <v>80</v>
      </c>
      <c r="G38" s="124">
        <v>0.283</v>
      </c>
      <c r="H38" s="124" t="s">
        <v>361</v>
      </c>
      <c r="I38" s="124"/>
      <c r="J38" s="124"/>
      <c r="K38" s="124"/>
    </row>
    <row r="39" spans="1:11" ht="12.75">
      <c r="A39" s="124">
        <v>39</v>
      </c>
      <c r="B39" s="124" t="s">
        <v>80</v>
      </c>
      <c r="C39" s="124" t="s">
        <v>654</v>
      </c>
      <c r="D39" s="124" t="s">
        <v>100</v>
      </c>
      <c r="E39" s="124">
        <v>80</v>
      </c>
      <c r="F39" s="124" t="s">
        <v>80</v>
      </c>
      <c r="G39" s="124">
        <v>0.313</v>
      </c>
      <c r="H39" s="124" t="s">
        <v>362</v>
      </c>
      <c r="I39" s="124"/>
      <c r="J39" s="124"/>
      <c r="K39" s="124"/>
    </row>
    <row r="40" spans="1:11" ht="12.75">
      <c r="A40" s="124">
        <v>40</v>
      </c>
      <c r="B40" s="124" t="s">
        <v>80</v>
      </c>
      <c r="C40" s="124" t="s">
        <v>655</v>
      </c>
      <c r="D40" s="124" t="s">
        <v>101</v>
      </c>
      <c r="E40" s="124">
        <v>80</v>
      </c>
      <c r="F40" s="124" t="s">
        <v>80</v>
      </c>
      <c r="G40" s="124">
        <v>0.283</v>
      </c>
      <c r="H40" s="124" t="s">
        <v>363</v>
      </c>
      <c r="I40" s="124"/>
      <c r="J40" s="124"/>
      <c r="K40" s="124"/>
    </row>
    <row r="41" spans="1:11" ht="12.75">
      <c r="A41" s="124">
        <v>41</v>
      </c>
      <c r="B41" s="124" t="s">
        <v>80</v>
      </c>
      <c r="C41" s="124" t="s">
        <v>656</v>
      </c>
      <c r="D41" s="124" t="s">
        <v>102</v>
      </c>
      <c r="E41" s="124">
        <v>85</v>
      </c>
      <c r="F41" s="124" t="s">
        <v>80</v>
      </c>
      <c r="G41" s="124">
        <v>0.295</v>
      </c>
      <c r="H41" s="124" t="s">
        <v>364</v>
      </c>
      <c r="I41" s="124"/>
      <c r="J41" s="124"/>
      <c r="K41" s="124"/>
    </row>
    <row r="42" spans="1:11" ht="12.75">
      <c r="A42" s="124">
        <v>42</v>
      </c>
      <c r="B42" s="124" t="s">
        <v>80</v>
      </c>
      <c r="C42" s="124" t="s">
        <v>657</v>
      </c>
      <c r="D42" s="124" t="s">
        <v>103</v>
      </c>
      <c r="E42" s="124">
        <v>85</v>
      </c>
      <c r="F42" s="124" t="s">
        <v>80</v>
      </c>
      <c r="G42" s="124">
        <v>0.285</v>
      </c>
      <c r="H42" s="124" t="s">
        <v>365</v>
      </c>
      <c r="I42" s="124"/>
      <c r="J42" s="124"/>
      <c r="K42" s="124"/>
    </row>
    <row r="43" spans="1:11" ht="12.75">
      <c r="A43" s="124">
        <v>43</v>
      </c>
      <c r="B43" s="124" t="s">
        <v>80</v>
      </c>
      <c r="C43" s="124" t="s">
        <v>658</v>
      </c>
      <c r="D43" s="124" t="s">
        <v>105</v>
      </c>
      <c r="E43" s="124">
        <v>85</v>
      </c>
      <c r="F43" s="124" t="s">
        <v>80</v>
      </c>
      <c r="G43" s="124">
        <v>0.31</v>
      </c>
      <c r="H43" s="124" t="s">
        <v>366</v>
      </c>
      <c r="I43" s="124"/>
      <c r="J43" s="124"/>
      <c r="K43" s="124"/>
    </row>
    <row r="44" spans="1:11" ht="12.75">
      <c r="A44" s="124">
        <v>44</v>
      </c>
      <c r="B44" s="124" t="s">
        <v>80</v>
      </c>
      <c r="C44" s="124" t="s">
        <v>659</v>
      </c>
      <c r="D44" s="124" t="s">
        <v>106</v>
      </c>
      <c r="E44" s="124">
        <v>87</v>
      </c>
      <c r="F44" s="124" t="s">
        <v>80</v>
      </c>
      <c r="G44" s="124">
        <v>0.4</v>
      </c>
      <c r="H44" s="124" t="s">
        <v>367</v>
      </c>
      <c r="I44" s="124"/>
      <c r="J44" s="124"/>
      <c r="K44" s="124"/>
    </row>
    <row r="45" spans="1:11" ht="12.75">
      <c r="A45" s="124">
        <v>45</v>
      </c>
      <c r="B45" s="124" t="s">
        <v>80</v>
      </c>
      <c r="C45" s="124" t="s">
        <v>660</v>
      </c>
      <c r="D45" s="124" t="s">
        <v>107</v>
      </c>
      <c r="E45" s="124">
        <v>87</v>
      </c>
      <c r="F45" s="124" t="s">
        <v>80</v>
      </c>
      <c r="G45" s="124">
        <v>0.376</v>
      </c>
      <c r="H45" s="124" t="s">
        <v>368</v>
      </c>
      <c r="I45" s="124"/>
      <c r="J45" s="124"/>
      <c r="K45" s="124"/>
    </row>
    <row r="46" spans="1:11" ht="12.75">
      <c r="A46" s="124">
        <v>46</v>
      </c>
      <c r="B46" s="124" t="s">
        <v>80</v>
      </c>
      <c r="C46" s="124" t="s">
        <v>661</v>
      </c>
      <c r="D46" s="124" t="s">
        <v>108</v>
      </c>
      <c r="E46" s="124">
        <v>87</v>
      </c>
      <c r="F46" s="124" t="s">
        <v>80</v>
      </c>
      <c r="G46" s="124">
        <v>0.327</v>
      </c>
      <c r="H46" s="124" t="s">
        <v>369</v>
      </c>
      <c r="I46" s="124"/>
      <c r="J46" s="124"/>
      <c r="K46" s="124"/>
    </row>
    <row r="47" spans="1:11" ht="12.75">
      <c r="A47" s="124">
        <v>47</v>
      </c>
      <c r="B47" s="124" t="s">
        <v>80</v>
      </c>
      <c r="C47" s="124" t="s">
        <v>662</v>
      </c>
      <c r="D47" s="124" t="s">
        <v>109</v>
      </c>
      <c r="E47" s="124">
        <v>88</v>
      </c>
      <c r="F47" s="124" t="s">
        <v>80</v>
      </c>
      <c r="G47" s="124">
        <v>0.335</v>
      </c>
      <c r="H47" s="124" t="s">
        <v>370</v>
      </c>
      <c r="I47" s="124"/>
      <c r="J47" s="124"/>
      <c r="K47" s="124"/>
    </row>
    <row r="48" spans="1:11" ht="12.75">
      <c r="A48" s="124">
        <v>48</v>
      </c>
      <c r="B48" s="124" t="s">
        <v>80</v>
      </c>
      <c r="C48" s="124" t="s">
        <v>663</v>
      </c>
      <c r="D48" s="124" t="s">
        <v>87</v>
      </c>
      <c r="E48" s="124">
        <v>90</v>
      </c>
      <c r="F48" s="124" t="s">
        <v>80</v>
      </c>
      <c r="G48" s="124">
        <v>0.403</v>
      </c>
      <c r="H48" s="124" t="s">
        <v>371</v>
      </c>
      <c r="I48" s="124"/>
      <c r="J48" s="124"/>
      <c r="K48" s="124"/>
    </row>
    <row r="49" spans="1:11" ht="12.75">
      <c r="A49" s="124">
        <v>49</v>
      </c>
      <c r="B49" s="124" t="s">
        <v>80</v>
      </c>
      <c r="C49" s="124" t="s">
        <v>664</v>
      </c>
      <c r="D49" s="124" t="s">
        <v>92</v>
      </c>
      <c r="E49" s="124">
        <v>90</v>
      </c>
      <c r="F49" s="124" t="s">
        <v>80</v>
      </c>
      <c r="G49" s="124">
        <v>0.334</v>
      </c>
      <c r="H49" s="124" t="s">
        <v>372</v>
      </c>
      <c r="I49" s="124"/>
      <c r="J49" s="124"/>
      <c r="K49" s="124"/>
    </row>
    <row r="50" spans="1:11" ht="12.75">
      <c r="A50" s="124">
        <v>50</v>
      </c>
      <c r="B50" s="124" t="s">
        <v>80</v>
      </c>
      <c r="C50" s="124" t="s">
        <v>665</v>
      </c>
      <c r="D50" s="124" t="s">
        <v>110</v>
      </c>
      <c r="E50" s="124">
        <v>90</v>
      </c>
      <c r="F50" s="124" t="s">
        <v>80</v>
      </c>
      <c r="G50" s="124">
        <v>0.385</v>
      </c>
      <c r="H50" s="124" t="s">
        <v>373</v>
      </c>
      <c r="I50" s="124"/>
      <c r="J50" s="124"/>
      <c r="K50" s="124"/>
    </row>
    <row r="51" spans="1:11" ht="12.75">
      <c r="A51" s="124">
        <v>51</v>
      </c>
      <c r="B51" s="124" t="s">
        <v>80</v>
      </c>
      <c r="C51" s="124" t="s">
        <v>666</v>
      </c>
      <c r="D51" s="124" t="s">
        <v>111</v>
      </c>
      <c r="E51" s="124">
        <v>90</v>
      </c>
      <c r="F51" s="124" t="s">
        <v>80</v>
      </c>
      <c r="G51" s="124">
        <v>0.257</v>
      </c>
      <c r="H51" s="124" t="s">
        <v>374</v>
      </c>
      <c r="I51" s="124"/>
      <c r="J51" s="124"/>
      <c r="K51" s="124"/>
    </row>
    <row r="52" spans="1:11" ht="12.75">
      <c r="A52" s="124">
        <v>52</v>
      </c>
      <c r="B52" s="124" t="s">
        <v>80</v>
      </c>
      <c r="C52" s="124" t="s">
        <v>667</v>
      </c>
      <c r="D52" s="124" t="s">
        <v>112</v>
      </c>
      <c r="E52" s="124">
        <v>90</v>
      </c>
      <c r="F52" s="124" t="s">
        <v>80</v>
      </c>
      <c r="G52" s="124">
        <v>0.29</v>
      </c>
      <c r="H52" s="124" t="s">
        <v>375</v>
      </c>
      <c r="I52" s="124"/>
      <c r="J52" s="124"/>
      <c r="K52" s="124"/>
    </row>
    <row r="53" spans="1:11" ht="12.75">
      <c r="A53" s="124">
        <v>53</v>
      </c>
      <c r="B53" s="124" t="s">
        <v>80</v>
      </c>
      <c r="C53" s="124" t="s">
        <v>668</v>
      </c>
      <c r="D53" s="124" t="s">
        <v>113</v>
      </c>
      <c r="E53" s="124">
        <v>90</v>
      </c>
      <c r="F53" s="124" t="s">
        <v>80</v>
      </c>
      <c r="G53" s="124">
        <v>0.42</v>
      </c>
      <c r="H53" s="124" t="s">
        <v>376</v>
      </c>
      <c r="I53" s="124"/>
      <c r="J53" s="124"/>
      <c r="K53" s="124"/>
    </row>
    <row r="54" spans="1:11" ht="12.75">
      <c r="A54" s="124">
        <v>54</v>
      </c>
      <c r="B54" s="124" t="s">
        <v>80</v>
      </c>
      <c r="C54" s="124" t="s">
        <v>669</v>
      </c>
      <c r="D54" s="124" t="s">
        <v>114</v>
      </c>
      <c r="E54" s="124">
        <v>90</v>
      </c>
      <c r="F54" s="124" t="s">
        <v>80</v>
      </c>
      <c r="G54" s="124">
        <v>0.38</v>
      </c>
      <c r="H54" s="124" t="s">
        <v>377</v>
      </c>
      <c r="I54" s="124"/>
      <c r="J54" s="124"/>
      <c r="K54" s="124"/>
    </row>
    <row r="55" spans="1:11" ht="12.75">
      <c r="A55" s="124">
        <v>55</v>
      </c>
      <c r="B55" s="124" t="s">
        <v>80</v>
      </c>
      <c r="C55" s="124" t="s">
        <v>670</v>
      </c>
      <c r="D55" s="124" t="s">
        <v>115</v>
      </c>
      <c r="E55" s="124">
        <v>95</v>
      </c>
      <c r="F55" s="124" t="s">
        <v>80</v>
      </c>
      <c r="G55" s="124">
        <v>0.515</v>
      </c>
      <c r="H55" s="124" t="s">
        <v>378</v>
      </c>
      <c r="I55" s="124"/>
      <c r="J55" s="124"/>
      <c r="K55" s="124"/>
    </row>
    <row r="56" spans="1:11" ht="12.75">
      <c r="A56" s="124">
        <v>56</v>
      </c>
      <c r="B56" s="124" t="s">
        <v>80</v>
      </c>
      <c r="C56" s="124" t="s">
        <v>671</v>
      </c>
      <c r="D56" s="124" t="s">
        <v>116</v>
      </c>
      <c r="E56" s="124">
        <v>95</v>
      </c>
      <c r="F56" s="124" t="s">
        <v>80</v>
      </c>
      <c r="G56" s="124">
        <v>0.355</v>
      </c>
      <c r="H56" s="124" t="s">
        <v>379</v>
      </c>
      <c r="I56" s="124"/>
      <c r="J56" s="124"/>
      <c r="K56" s="124"/>
    </row>
    <row r="57" spans="1:11" ht="12.75">
      <c r="A57" s="124">
        <v>57</v>
      </c>
      <c r="B57" s="124" t="s">
        <v>80</v>
      </c>
      <c r="C57" s="124" t="s">
        <v>672</v>
      </c>
      <c r="D57" s="124" t="s">
        <v>117</v>
      </c>
      <c r="E57" s="124">
        <v>100</v>
      </c>
      <c r="F57" s="124" t="s">
        <v>80</v>
      </c>
      <c r="G57" s="124">
        <v>0.23</v>
      </c>
      <c r="H57" s="124" t="s">
        <v>380</v>
      </c>
      <c r="I57" s="124"/>
      <c r="J57" s="124"/>
      <c r="K57" s="124"/>
    </row>
    <row r="58" spans="1:11" ht="12.75">
      <c r="A58" s="124">
        <v>58</v>
      </c>
      <c r="B58" s="124" t="s">
        <v>80</v>
      </c>
      <c r="C58" s="124" t="s">
        <v>673</v>
      </c>
      <c r="D58" s="124" t="s">
        <v>118</v>
      </c>
      <c r="E58" s="124">
        <v>100</v>
      </c>
      <c r="F58" s="124" t="s">
        <v>80</v>
      </c>
      <c r="G58" s="124">
        <v>0.405</v>
      </c>
      <c r="H58" s="124" t="s">
        <v>381</v>
      </c>
      <c r="I58" s="124"/>
      <c r="J58" s="124"/>
      <c r="K58" s="124"/>
    </row>
    <row r="59" spans="1:11" ht="12.75">
      <c r="A59" s="124">
        <v>59</v>
      </c>
      <c r="B59" s="124" t="s">
        <v>80</v>
      </c>
      <c r="C59" s="124" t="s">
        <v>674</v>
      </c>
      <c r="D59" s="124" t="s">
        <v>119</v>
      </c>
      <c r="E59" s="124">
        <v>100</v>
      </c>
      <c r="F59" s="124" t="s">
        <v>80</v>
      </c>
      <c r="G59" s="124">
        <v>0.381</v>
      </c>
      <c r="H59" s="124" t="s">
        <v>382</v>
      </c>
      <c r="I59" s="124"/>
      <c r="J59" s="124"/>
      <c r="K59" s="124"/>
    </row>
    <row r="60" spans="1:11" ht="12.75">
      <c r="A60" s="124">
        <v>60</v>
      </c>
      <c r="B60" s="124" t="s">
        <v>80</v>
      </c>
      <c r="C60" s="124" t="s">
        <v>675</v>
      </c>
      <c r="D60" s="124" t="s">
        <v>120</v>
      </c>
      <c r="E60" s="124">
        <v>100</v>
      </c>
      <c r="F60" s="124" t="s">
        <v>80</v>
      </c>
      <c r="G60" s="124">
        <v>0.287</v>
      </c>
      <c r="H60" s="124" t="s">
        <v>383</v>
      </c>
      <c r="I60" s="124"/>
      <c r="J60" s="124"/>
      <c r="K60" s="124"/>
    </row>
    <row r="61" spans="1:11" ht="12.75">
      <c r="A61" s="124">
        <v>61</v>
      </c>
      <c r="B61" s="124" t="s">
        <v>80</v>
      </c>
      <c r="C61" s="124" t="s">
        <v>676</v>
      </c>
      <c r="D61" s="124" t="s">
        <v>121</v>
      </c>
      <c r="E61" s="124">
        <v>100</v>
      </c>
      <c r="F61" s="124" t="s">
        <v>80</v>
      </c>
      <c r="G61" s="124">
        <v>0.367</v>
      </c>
      <c r="H61" s="124" t="s">
        <v>384</v>
      </c>
      <c r="I61" s="124"/>
      <c r="J61" s="124"/>
      <c r="K61" s="124"/>
    </row>
    <row r="62" spans="1:11" ht="12.75">
      <c r="A62" s="124">
        <v>62</v>
      </c>
      <c r="B62" s="124" t="s">
        <v>80</v>
      </c>
      <c r="C62" s="124" t="s">
        <v>677</v>
      </c>
      <c r="D62" s="124" t="s">
        <v>122</v>
      </c>
      <c r="E62" s="124">
        <v>100</v>
      </c>
      <c r="F62" s="124" t="s">
        <v>80</v>
      </c>
      <c r="G62" s="124">
        <v>0.423</v>
      </c>
      <c r="H62" s="124" t="s">
        <v>385</v>
      </c>
      <c r="I62" s="124"/>
      <c r="J62" s="124"/>
      <c r="K62" s="124"/>
    </row>
    <row r="63" spans="1:11" ht="12.75">
      <c r="A63" s="124">
        <v>63</v>
      </c>
      <c r="B63" s="124" t="s">
        <v>80</v>
      </c>
      <c r="C63" s="124" t="s">
        <v>678</v>
      </c>
      <c r="D63" s="124" t="s">
        <v>123</v>
      </c>
      <c r="E63" s="124">
        <v>100</v>
      </c>
      <c r="F63" s="124" t="s">
        <v>80</v>
      </c>
      <c r="G63" s="124">
        <v>0.27</v>
      </c>
      <c r="H63" s="124" t="s">
        <v>386</v>
      </c>
      <c r="I63" s="124"/>
      <c r="J63" s="124"/>
      <c r="K63" s="124"/>
    </row>
    <row r="64" spans="1:11" ht="12.75">
      <c r="A64" s="124">
        <v>64</v>
      </c>
      <c r="B64" s="124" t="s">
        <v>80</v>
      </c>
      <c r="C64" s="124" t="s">
        <v>679</v>
      </c>
      <c r="D64" s="124" t="s">
        <v>124</v>
      </c>
      <c r="E64" s="124">
        <v>105</v>
      </c>
      <c r="F64" s="124" t="s">
        <v>80</v>
      </c>
      <c r="G64" s="124">
        <v>0.555</v>
      </c>
      <c r="H64" s="124" t="s">
        <v>387</v>
      </c>
      <c r="I64" s="124"/>
      <c r="J64" s="124"/>
      <c r="K64" s="124"/>
    </row>
    <row r="65" spans="1:11" ht="12.75">
      <c r="A65" s="124">
        <v>65</v>
      </c>
      <c r="B65" s="124" t="s">
        <v>80</v>
      </c>
      <c r="C65" s="124" t="s">
        <v>680</v>
      </c>
      <c r="D65" s="124" t="s">
        <v>125</v>
      </c>
      <c r="E65" s="124">
        <v>105</v>
      </c>
      <c r="F65" s="124" t="s">
        <v>80</v>
      </c>
      <c r="G65" s="124">
        <v>0.424</v>
      </c>
      <c r="H65" s="124" t="s">
        <v>388</v>
      </c>
      <c r="I65" s="124"/>
      <c r="J65" s="124"/>
      <c r="K65" s="124"/>
    </row>
    <row r="66" spans="1:11" ht="12.75">
      <c r="A66" s="124">
        <v>66</v>
      </c>
      <c r="B66" s="124" t="s">
        <v>80</v>
      </c>
      <c r="C66" s="124" t="s">
        <v>681</v>
      </c>
      <c r="D66" s="124" t="s">
        <v>126</v>
      </c>
      <c r="E66" s="124">
        <v>105</v>
      </c>
      <c r="F66" s="124" t="s">
        <v>80</v>
      </c>
      <c r="G66" s="124">
        <v>0.432</v>
      </c>
      <c r="H66" s="124" t="s">
        <v>389</v>
      </c>
      <c r="I66" s="124"/>
      <c r="J66" s="124"/>
      <c r="K66" s="124"/>
    </row>
    <row r="67" spans="1:11" ht="12.75">
      <c r="A67" s="124">
        <v>67</v>
      </c>
      <c r="B67" s="124" t="s">
        <v>80</v>
      </c>
      <c r="C67" s="124" t="s">
        <v>682</v>
      </c>
      <c r="D67" s="124" t="s">
        <v>127</v>
      </c>
      <c r="E67" s="124">
        <v>105</v>
      </c>
      <c r="F67" s="124" t="s">
        <v>80</v>
      </c>
      <c r="G67" s="124">
        <v>0.5</v>
      </c>
      <c r="H67" s="124" t="s">
        <v>390</v>
      </c>
      <c r="I67" s="124"/>
      <c r="J67" s="124"/>
      <c r="K67" s="124"/>
    </row>
    <row r="68" spans="1:11" ht="12.75">
      <c r="A68" s="124">
        <v>68</v>
      </c>
      <c r="B68" s="124" t="s">
        <v>80</v>
      </c>
      <c r="C68" s="124" t="s">
        <v>683</v>
      </c>
      <c r="D68" s="124" t="s">
        <v>128</v>
      </c>
      <c r="E68" s="124">
        <v>105</v>
      </c>
      <c r="F68" s="124" t="s">
        <v>80</v>
      </c>
      <c r="G68" s="124">
        <v>0.53</v>
      </c>
      <c r="H68" s="124" t="s">
        <v>391</v>
      </c>
      <c r="I68" s="124"/>
      <c r="J68" s="124"/>
      <c r="K68" s="124"/>
    </row>
    <row r="69" spans="1:11" ht="12.75">
      <c r="A69" s="124">
        <v>69</v>
      </c>
      <c r="B69" s="124" t="s">
        <v>80</v>
      </c>
      <c r="C69" s="124" t="s">
        <v>684</v>
      </c>
      <c r="D69" s="124" t="s">
        <v>129</v>
      </c>
      <c r="E69" s="124">
        <v>107</v>
      </c>
      <c r="F69" s="124" t="s">
        <v>80</v>
      </c>
      <c r="G69" s="124">
        <v>0.518</v>
      </c>
      <c r="H69" s="124" t="s">
        <v>392</v>
      </c>
      <c r="I69" s="124"/>
      <c r="J69" s="124"/>
      <c r="K69" s="124"/>
    </row>
    <row r="70" spans="1:11" ht="12.75">
      <c r="A70" s="124">
        <v>70</v>
      </c>
      <c r="B70" s="124" t="s">
        <v>80</v>
      </c>
      <c r="C70" s="124" t="s">
        <v>685</v>
      </c>
      <c r="D70" s="124" t="s">
        <v>130</v>
      </c>
      <c r="E70" s="124">
        <v>107</v>
      </c>
      <c r="F70" s="124" t="s">
        <v>80</v>
      </c>
      <c r="G70" s="124">
        <v>0.511</v>
      </c>
      <c r="H70" s="124" t="s">
        <v>393</v>
      </c>
      <c r="I70" s="124"/>
      <c r="J70" s="124"/>
      <c r="K70" s="124"/>
    </row>
    <row r="71" spans="1:11" ht="12.75">
      <c r="A71" s="124">
        <v>71</v>
      </c>
      <c r="B71" s="124" t="s">
        <v>80</v>
      </c>
      <c r="C71" s="124" t="s">
        <v>686</v>
      </c>
      <c r="D71" s="124" t="s">
        <v>124</v>
      </c>
      <c r="E71" s="124">
        <v>115</v>
      </c>
      <c r="F71" s="124" t="s">
        <v>80</v>
      </c>
      <c r="G71" s="124">
        <v>0.586</v>
      </c>
      <c r="H71" s="124" t="s">
        <v>394</v>
      </c>
      <c r="I71" s="124"/>
      <c r="J71" s="124"/>
      <c r="K71" s="124"/>
    </row>
    <row r="72" spans="1:11" ht="12.75">
      <c r="A72" s="124">
        <v>72</v>
      </c>
      <c r="B72" s="124" t="s">
        <v>131</v>
      </c>
      <c r="C72" s="124" t="s">
        <v>687</v>
      </c>
      <c r="D72" s="124" t="s">
        <v>132</v>
      </c>
      <c r="E72" s="124">
        <v>80</v>
      </c>
      <c r="F72" s="124" t="s">
        <v>131</v>
      </c>
      <c r="G72" s="124">
        <v>0.16</v>
      </c>
      <c r="H72" s="124" t="s">
        <v>395</v>
      </c>
      <c r="I72" s="124"/>
      <c r="J72" s="124"/>
      <c r="K72" s="124"/>
    </row>
    <row r="73" spans="1:11" ht="12.75">
      <c r="A73" s="124">
        <v>73</v>
      </c>
      <c r="B73" s="124" t="s">
        <v>131</v>
      </c>
      <c r="C73" s="124" t="s">
        <v>688</v>
      </c>
      <c r="D73" s="124" t="s">
        <v>133</v>
      </c>
      <c r="E73" s="124">
        <v>85</v>
      </c>
      <c r="F73" s="124" t="s">
        <v>131</v>
      </c>
      <c r="G73" s="124">
        <v>0.221</v>
      </c>
      <c r="H73" s="124" t="s">
        <v>396</v>
      </c>
      <c r="I73" s="124"/>
      <c r="J73" s="124"/>
      <c r="K73" s="124"/>
    </row>
    <row r="74" spans="1:11" ht="12.75">
      <c r="A74" s="124">
        <v>74</v>
      </c>
      <c r="B74" s="124" t="s">
        <v>131</v>
      </c>
      <c r="C74" s="124" t="s">
        <v>689</v>
      </c>
      <c r="D74" s="124" t="s">
        <v>134</v>
      </c>
      <c r="E74" s="124">
        <v>95</v>
      </c>
      <c r="F74" s="124" t="s">
        <v>131</v>
      </c>
      <c r="G74" s="124">
        <v>0.365</v>
      </c>
      <c r="H74" s="124" t="s">
        <v>397</v>
      </c>
      <c r="I74" s="124"/>
      <c r="J74" s="124"/>
      <c r="K74" s="124"/>
    </row>
    <row r="75" spans="1:11" ht="12.75">
      <c r="A75" s="124">
        <v>75</v>
      </c>
      <c r="B75" s="124" t="s">
        <v>131</v>
      </c>
      <c r="C75" s="124" t="s">
        <v>690</v>
      </c>
      <c r="D75" s="124" t="s">
        <v>135</v>
      </c>
      <c r="E75" s="124">
        <v>100</v>
      </c>
      <c r="F75" s="124" t="s">
        <v>131</v>
      </c>
      <c r="G75" s="124">
        <v>0.358</v>
      </c>
      <c r="H75" s="124" t="s">
        <v>398</v>
      </c>
      <c r="I75" s="124"/>
      <c r="J75" s="124"/>
      <c r="K75" s="124"/>
    </row>
    <row r="76" spans="1:11" ht="12.75">
      <c r="A76" s="124">
        <v>76</v>
      </c>
      <c r="B76" s="124" t="s">
        <v>131</v>
      </c>
      <c r="C76" s="124" t="s">
        <v>691</v>
      </c>
      <c r="D76" s="124" t="s">
        <v>136</v>
      </c>
      <c r="E76" s="124">
        <v>100</v>
      </c>
      <c r="F76" s="124" t="s">
        <v>131</v>
      </c>
      <c r="G76" s="124">
        <v>0.25</v>
      </c>
      <c r="H76" s="124" t="s">
        <v>399</v>
      </c>
      <c r="I76" s="124"/>
      <c r="J76" s="124"/>
      <c r="K76" s="124"/>
    </row>
    <row r="77" spans="1:11" ht="12.75">
      <c r="A77" s="124">
        <v>77</v>
      </c>
      <c r="B77" s="124" t="s">
        <v>131</v>
      </c>
      <c r="C77" s="124" t="s">
        <v>808</v>
      </c>
      <c r="D77" s="124" t="s">
        <v>137</v>
      </c>
      <c r="E77" s="124">
        <v>100</v>
      </c>
      <c r="F77" s="124" t="s">
        <v>86</v>
      </c>
      <c r="G77" s="124">
        <v>0.25</v>
      </c>
      <c r="H77" s="124" t="s">
        <v>400</v>
      </c>
      <c r="I77" s="124"/>
      <c r="J77" s="124"/>
      <c r="K77" s="124"/>
    </row>
    <row r="78" spans="1:11" ht="12.75">
      <c r="A78" s="124">
        <v>78</v>
      </c>
      <c r="B78" s="124" t="s">
        <v>131</v>
      </c>
      <c r="C78" s="124" t="s">
        <v>692</v>
      </c>
      <c r="D78" s="124" t="s">
        <v>138</v>
      </c>
      <c r="E78" s="124">
        <v>100</v>
      </c>
      <c r="F78" s="124" t="s">
        <v>131</v>
      </c>
      <c r="G78" s="124">
        <v>0.32</v>
      </c>
      <c r="H78" s="124" t="s">
        <v>401</v>
      </c>
      <c r="I78" s="124"/>
      <c r="J78" s="124"/>
      <c r="K78" s="124"/>
    </row>
    <row r="79" spans="1:11" ht="12.75">
      <c r="A79" s="124">
        <v>79</v>
      </c>
      <c r="B79" s="124" t="s">
        <v>131</v>
      </c>
      <c r="C79" s="124" t="s">
        <v>693</v>
      </c>
      <c r="D79" s="124" t="s">
        <v>139</v>
      </c>
      <c r="E79" s="124">
        <v>100</v>
      </c>
      <c r="F79" s="124" t="s">
        <v>131</v>
      </c>
      <c r="G79" s="124">
        <v>0.255</v>
      </c>
      <c r="H79" s="124" t="s">
        <v>402</v>
      </c>
      <c r="I79" s="124"/>
      <c r="J79" s="124"/>
      <c r="K79" s="124"/>
    </row>
    <row r="80" spans="1:11" ht="12.75">
      <c r="A80" s="124">
        <v>80</v>
      </c>
      <c r="B80" s="124" t="s">
        <v>131</v>
      </c>
      <c r="C80" s="124" t="s">
        <v>694</v>
      </c>
      <c r="D80" s="124" t="s">
        <v>140</v>
      </c>
      <c r="E80" s="124">
        <v>107</v>
      </c>
      <c r="F80" s="124" t="s">
        <v>131</v>
      </c>
      <c r="G80" s="124">
        <v>0.423</v>
      </c>
      <c r="H80" s="124" t="s">
        <v>403</v>
      </c>
      <c r="I80" s="124"/>
      <c r="J80" s="124"/>
      <c r="K80" s="124"/>
    </row>
    <row r="81" spans="1:11" ht="12.75">
      <c r="A81" s="124">
        <v>81</v>
      </c>
      <c r="B81" s="124" t="s">
        <v>131</v>
      </c>
      <c r="C81" s="124" t="s">
        <v>695</v>
      </c>
      <c r="D81" s="124" t="s">
        <v>141</v>
      </c>
      <c r="E81" s="124">
        <v>108</v>
      </c>
      <c r="F81" s="124" t="s">
        <v>131</v>
      </c>
      <c r="G81" s="124">
        <v>0.347</v>
      </c>
      <c r="H81" s="124" t="s">
        <v>404</v>
      </c>
      <c r="I81" s="124"/>
      <c r="J81" s="124"/>
      <c r="K81" s="124"/>
    </row>
    <row r="82" spans="1:11" ht="12.75">
      <c r="A82" s="124">
        <v>82</v>
      </c>
      <c r="B82" s="124" t="s">
        <v>131</v>
      </c>
      <c r="C82" s="124" t="s">
        <v>696</v>
      </c>
      <c r="D82" s="124" t="s">
        <v>142</v>
      </c>
      <c r="E82" s="124">
        <v>108</v>
      </c>
      <c r="F82" s="124" t="s">
        <v>131</v>
      </c>
      <c r="G82" s="124">
        <v>0.478</v>
      </c>
      <c r="H82" s="124" t="s">
        <v>405</v>
      </c>
      <c r="I82" s="124"/>
      <c r="J82" s="124"/>
      <c r="K82" s="124"/>
    </row>
    <row r="83" spans="1:11" ht="12.75">
      <c r="A83" s="124">
        <v>83</v>
      </c>
      <c r="B83" s="124" t="s">
        <v>131</v>
      </c>
      <c r="C83" s="124" t="s">
        <v>697</v>
      </c>
      <c r="D83" s="124" t="s">
        <v>143</v>
      </c>
      <c r="E83" s="124">
        <v>120</v>
      </c>
      <c r="F83" s="124" t="s">
        <v>131</v>
      </c>
      <c r="G83" s="124">
        <v>0.414</v>
      </c>
      <c r="H83" s="124" t="s">
        <v>406</v>
      </c>
      <c r="I83" s="124"/>
      <c r="J83" s="124"/>
      <c r="K83" s="124"/>
    </row>
    <row r="84" spans="1:11" ht="12.75">
      <c r="A84" s="124">
        <v>84</v>
      </c>
      <c r="B84" s="124" t="s">
        <v>131</v>
      </c>
      <c r="C84" s="124" t="s">
        <v>698</v>
      </c>
      <c r="D84" s="124" t="s">
        <v>144</v>
      </c>
      <c r="E84" s="124">
        <v>120</v>
      </c>
      <c r="F84" s="124" t="s">
        <v>131</v>
      </c>
      <c r="G84" s="124">
        <v>0.35</v>
      </c>
      <c r="H84" s="124" t="s">
        <v>407</v>
      </c>
      <c r="I84" s="124"/>
      <c r="J84" s="124"/>
      <c r="K84" s="124"/>
    </row>
    <row r="85" spans="1:11" ht="12.75">
      <c r="A85" s="124">
        <v>85</v>
      </c>
      <c r="B85" s="124" t="s">
        <v>131</v>
      </c>
      <c r="C85" s="124" t="s">
        <v>699</v>
      </c>
      <c r="D85" s="124" t="s">
        <v>145</v>
      </c>
      <c r="E85" s="124">
        <v>108</v>
      </c>
      <c r="F85" s="124" t="s">
        <v>131</v>
      </c>
      <c r="G85" s="124">
        <v>0.547</v>
      </c>
      <c r="H85" s="124" t="s">
        <v>408</v>
      </c>
      <c r="I85" s="124"/>
      <c r="J85" s="124"/>
      <c r="K85" s="124"/>
    </row>
    <row r="86" spans="1:11" ht="12.75">
      <c r="A86" s="124">
        <v>86</v>
      </c>
      <c r="B86" s="124" t="s">
        <v>131</v>
      </c>
      <c r="C86" s="124" t="s">
        <v>700</v>
      </c>
      <c r="D86" s="124" t="s">
        <v>146</v>
      </c>
      <c r="E86" s="124">
        <v>129</v>
      </c>
      <c r="F86" s="124" t="s">
        <v>131</v>
      </c>
      <c r="G86" s="124">
        <v>0.445</v>
      </c>
      <c r="H86" s="124" t="s">
        <v>409</v>
      </c>
      <c r="I86" s="124"/>
      <c r="J86" s="124"/>
      <c r="K86" s="124"/>
    </row>
    <row r="87" spans="1:11" ht="12.75">
      <c r="A87" s="124">
        <v>87</v>
      </c>
      <c r="B87" s="124" t="s">
        <v>131</v>
      </c>
      <c r="C87" s="124" t="s">
        <v>701</v>
      </c>
      <c r="D87" s="124" t="s">
        <v>147</v>
      </c>
      <c r="E87" s="124">
        <v>129</v>
      </c>
      <c r="F87" s="124" t="s">
        <v>131</v>
      </c>
      <c r="G87" s="124">
        <v>0.485</v>
      </c>
      <c r="H87" s="124" t="s">
        <v>410</v>
      </c>
      <c r="I87" s="124"/>
      <c r="J87" s="124"/>
      <c r="K87" s="124"/>
    </row>
    <row r="88" spans="1:11" ht="12.75">
      <c r="A88" s="124">
        <v>88</v>
      </c>
      <c r="B88" s="124" t="s">
        <v>131</v>
      </c>
      <c r="C88" s="124" t="s">
        <v>702</v>
      </c>
      <c r="D88" s="124" t="s">
        <v>148</v>
      </c>
      <c r="E88" s="124">
        <v>130</v>
      </c>
      <c r="F88" s="124" t="s">
        <v>131</v>
      </c>
      <c r="G88" s="124">
        <v>0.61</v>
      </c>
      <c r="H88" s="124" t="s">
        <v>411</v>
      </c>
      <c r="I88" s="124"/>
      <c r="J88" s="124"/>
      <c r="K88" s="124"/>
    </row>
    <row r="89" spans="1:11" ht="12.75">
      <c r="A89" s="124">
        <v>89</v>
      </c>
      <c r="B89" s="124" t="s">
        <v>131</v>
      </c>
      <c r="C89" s="124" t="s">
        <v>703</v>
      </c>
      <c r="D89" s="124" t="s">
        <v>149</v>
      </c>
      <c r="E89" s="124">
        <v>139</v>
      </c>
      <c r="F89" s="124" t="s">
        <v>131</v>
      </c>
      <c r="G89" s="124">
        <v>0.615</v>
      </c>
      <c r="H89" s="124" t="s">
        <v>412</v>
      </c>
      <c r="I89" s="124"/>
      <c r="J89" s="124"/>
      <c r="K89" s="124"/>
    </row>
    <row r="90" spans="1:11" ht="12.75">
      <c r="A90" s="124">
        <v>90</v>
      </c>
      <c r="B90" s="124" t="s">
        <v>131</v>
      </c>
      <c r="C90" s="124" t="s">
        <v>704</v>
      </c>
      <c r="D90" s="124" t="s">
        <v>150</v>
      </c>
      <c r="E90" s="124">
        <v>139</v>
      </c>
      <c r="F90" s="124" t="s">
        <v>131</v>
      </c>
      <c r="G90" s="124">
        <v>0.58</v>
      </c>
      <c r="H90" s="124" t="s">
        <v>413</v>
      </c>
      <c r="I90" s="124"/>
      <c r="J90" s="124"/>
      <c r="K90" s="124"/>
    </row>
    <row r="91" spans="1:11" ht="12.75">
      <c r="A91" s="124">
        <v>91</v>
      </c>
      <c r="B91" s="124" t="s">
        <v>131</v>
      </c>
      <c r="C91" s="124" t="s">
        <v>705</v>
      </c>
      <c r="D91" s="124" t="s">
        <v>151</v>
      </c>
      <c r="E91" s="124">
        <v>139</v>
      </c>
      <c r="F91" s="124" t="s">
        <v>131</v>
      </c>
      <c r="G91" s="124">
        <v>0.51</v>
      </c>
      <c r="H91" s="124" t="s">
        <v>414</v>
      </c>
      <c r="I91" s="124"/>
      <c r="J91" s="124"/>
      <c r="K91" s="124"/>
    </row>
    <row r="92" spans="1:11" ht="12.75">
      <c r="A92" s="124">
        <v>92</v>
      </c>
      <c r="B92" s="124" t="s">
        <v>131</v>
      </c>
      <c r="C92" s="124" t="s">
        <v>706</v>
      </c>
      <c r="D92" s="124" t="s">
        <v>152</v>
      </c>
      <c r="E92" s="124">
        <v>139</v>
      </c>
      <c r="F92" s="124" t="s">
        <v>131</v>
      </c>
      <c r="G92" s="124">
        <v>0.39</v>
      </c>
      <c r="H92" s="124" t="s">
        <v>415</v>
      </c>
      <c r="I92" s="124"/>
      <c r="J92" s="124"/>
      <c r="K92" s="124"/>
    </row>
    <row r="93" spans="1:11" ht="12.75">
      <c r="A93" s="124">
        <v>93</v>
      </c>
      <c r="B93" s="124" t="s">
        <v>131</v>
      </c>
      <c r="C93" s="124" t="s">
        <v>707</v>
      </c>
      <c r="D93" s="124" t="s">
        <v>153</v>
      </c>
      <c r="E93" s="124">
        <v>139</v>
      </c>
      <c r="F93" s="124" t="s">
        <v>131</v>
      </c>
      <c r="G93" s="124">
        <v>0.41</v>
      </c>
      <c r="H93" s="124" t="s">
        <v>416</v>
      </c>
      <c r="I93" s="124"/>
      <c r="J93" s="124"/>
      <c r="K93" s="124"/>
    </row>
    <row r="94" spans="1:11" ht="12.75">
      <c r="A94" s="124">
        <v>94</v>
      </c>
      <c r="B94" s="124" t="s">
        <v>131</v>
      </c>
      <c r="C94" s="124" t="s">
        <v>708</v>
      </c>
      <c r="D94" s="124" t="s">
        <v>154</v>
      </c>
      <c r="E94" s="124">
        <v>139</v>
      </c>
      <c r="F94" s="124" t="s">
        <v>131</v>
      </c>
      <c r="G94" s="124">
        <v>0.32</v>
      </c>
      <c r="H94" s="124" t="s">
        <v>417</v>
      </c>
      <c r="I94" s="124"/>
      <c r="J94" s="124"/>
      <c r="K94" s="124"/>
    </row>
    <row r="95" spans="1:11" ht="12.75">
      <c r="A95" s="124">
        <v>95</v>
      </c>
      <c r="B95" s="124" t="s">
        <v>131</v>
      </c>
      <c r="C95" s="124" t="s">
        <v>709</v>
      </c>
      <c r="D95" s="124" t="s">
        <v>124</v>
      </c>
      <c r="E95" s="124">
        <v>140</v>
      </c>
      <c r="F95" s="124" t="s">
        <v>131</v>
      </c>
      <c r="G95" s="124">
        <v>0.622</v>
      </c>
      <c r="H95" s="124" t="s">
        <v>418</v>
      </c>
      <c r="I95" s="124"/>
      <c r="J95" s="124"/>
      <c r="K95" s="124"/>
    </row>
    <row r="96" spans="1:11" ht="12.75">
      <c r="A96" s="124">
        <v>96</v>
      </c>
      <c r="B96" s="124" t="s">
        <v>131</v>
      </c>
      <c r="C96" s="124" t="s">
        <v>710</v>
      </c>
      <c r="D96" s="124" t="s">
        <v>155</v>
      </c>
      <c r="E96" s="124">
        <v>140</v>
      </c>
      <c r="F96" s="124" t="s">
        <v>131</v>
      </c>
      <c r="G96" s="124">
        <v>0.55</v>
      </c>
      <c r="H96" s="124" t="s">
        <v>419</v>
      </c>
      <c r="I96" s="124"/>
      <c r="J96" s="124"/>
      <c r="K96" s="124"/>
    </row>
    <row r="97" spans="1:11" ht="12.75">
      <c r="A97" s="124">
        <v>97</v>
      </c>
      <c r="B97" s="124" t="s">
        <v>131</v>
      </c>
      <c r="C97" s="124" t="s">
        <v>711</v>
      </c>
      <c r="D97" s="124" t="s">
        <v>156</v>
      </c>
      <c r="E97" s="124">
        <v>140</v>
      </c>
      <c r="F97" s="124" t="s">
        <v>131</v>
      </c>
      <c r="G97" s="124">
        <v>0.465</v>
      </c>
      <c r="H97" s="124" t="s">
        <v>420</v>
      </c>
      <c r="I97" s="124"/>
      <c r="J97" s="124"/>
      <c r="K97" s="124"/>
    </row>
    <row r="98" spans="1:11" ht="12.75">
      <c r="A98" s="124">
        <v>98</v>
      </c>
      <c r="B98" s="124" t="s">
        <v>131</v>
      </c>
      <c r="C98" s="124" t="s">
        <v>712</v>
      </c>
      <c r="D98" s="124" t="s">
        <v>157</v>
      </c>
      <c r="E98" s="124">
        <v>140</v>
      </c>
      <c r="F98" s="124" t="s">
        <v>131</v>
      </c>
      <c r="G98" s="124">
        <v>0.52</v>
      </c>
      <c r="H98" s="124" t="s">
        <v>421</v>
      </c>
      <c r="I98" s="124"/>
      <c r="J98" s="124"/>
      <c r="K98" s="124"/>
    </row>
    <row r="99" spans="1:11" ht="12.75">
      <c r="A99" s="124">
        <v>99</v>
      </c>
      <c r="B99" s="124" t="s">
        <v>131</v>
      </c>
      <c r="C99" s="124" t="s">
        <v>713</v>
      </c>
      <c r="D99" s="124" t="s">
        <v>158</v>
      </c>
      <c r="E99" s="124">
        <v>140</v>
      </c>
      <c r="F99" s="124" t="s">
        <v>131</v>
      </c>
      <c r="G99" s="124">
        <v>0.324</v>
      </c>
      <c r="H99" s="124" t="s">
        <v>422</v>
      </c>
      <c r="I99" s="124"/>
      <c r="J99" s="124"/>
      <c r="K99" s="124"/>
    </row>
    <row r="100" spans="1:11" ht="12.75">
      <c r="A100" s="124">
        <v>100</v>
      </c>
      <c r="B100" s="124" t="s">
        <v>131</v>
      </c>
      <c r="C100" s="124" t="s">
        <v>714</v>
      </c>
      <c r="D100" s="124" t="s">
        <v>159</v>
      </c>
      <c r="E100" s="124">
        <v>140</v>
      </c>
      <c r="F100" s="124" t="s">
        <v>131</v>
      </c>
      <c r="G100" s="124">
        <v>0.526</v>
      </c>
      <c r="H100" s="124" t="s">
        <v>423</v>
      </c>
      <c r="I100" s="124"/>
      <c r="J100" s="124"/>
      <c r="K100" s="124"/>
    </row>
    <row r="101" spans="1:11" ht="12.75">
      <c r="A101" s="124">
        <v>101</v>
      </c>
      <c r="B101" s="124" t="s">
        <v>131</v>
      </c>
      <c r="C101" s="124" t="s">
        <v>715</v>
      </c>
      <c r="D101" s="124" t="s">
        <v>160</v>
      </c>
      <c r="E101" s="124">
        <v>140</v>
      </c>
      <c r="F101" s="124" t="s">
        <v>131</v>
      </c>
      <c r="G101" s="124">
        <v>0.518</v>
      </c>
      <c r="H101" s="124" t="s">
        <v>424</v>
      </c>
      <c r="I101" s="124"/>
      <c r="J101" s="124"/>
      <c r="K101" s="124"/>
    </row>
    <row r="102" spans="1:11" ht="12.75">
      <c r="A102" s="124">
        <v>102</v>
      </c>
      <c r="B102" s="124" t="s">
        <v>131</v>
      </c>
      <c r="C102" s="124" t="s">
        <v>716</v>
      </c>
      <c r="D102" s="124" t="s">
        <v>161</v>
      </c>
      <c r="E102" s="124">
        <v>140</v>
      </c>
      <c r="F102" s="124" t="s">
        <v>131</v>
      </c>
      <c r="G102" s="124">
        <v>0.486</v>
      </c>
      <c r="H102" s="124" t="s">
        <v>425</v>
      </c>
      <c r="I102" s="124"/>
      <c r="J102" s="124"/>
      <c r="K102" s="124"/>
    </row>
    <row r="103" spans="1:11" ht="12.75">
      <c r="A103" s="124">
        <v>103</v>
      </c>
      <c r="B103" s="124" t="s">
        <v>131</v>
      </c>
      <c r="C103" s="124" t="s">
        <v>717</v>
      </c>
      <c r="D103" s="124" t="s">
        <v>162</v>
      </c>
      <c r="E103" s="124">
        <v>142</v>
      </c>
      <c r="F103" s="124" t="s">
        <v>131</v>
      </c>
      <c r="G103" s="124">
        <v>0.584</v>
      </c>
      <c r="H103" s="124" t="s">
        <v>426</v>
      </c>
      <c r="I103" s="124"/>
      <c r="J103" s="124"/>
      <c r="K103" s="124"/>
    </row>
    <row r="104" spans="1:11" ht="12.75">
      <c r="A104" s="124">
        <v>104</v>
      </c>
      <c r="B104" s="124" t="s">
        <v>131</v>
      </c>
      <c r="C104" s="124" t="s">
        <v>807</v>
      </c>
      <c r="D104" s="124" t="s">
        <v>163</v>
      </c>
      <c r="E104" s="124">
        <v>144</v>
      </c>
      <c r="F104" s="124" t="s">
        <v>86</v>
      </c>
      <c r="G104" s="124">
        <v>0.625</v>
      </c>
      <c r="H104" s="124" t="s">
        <v>427</v>
      </c>
      <c r="I104" s="124"/>
      <c r="J104" s="124"/>
      <c r="K104" s="124"/>
    </row>
    <row r="105" spans="1:11" ht="12.75">
      <c r="A105" s="124">
        <v>105</v>
      </c>
      <c r="B105" s="124" t="s">
        <v>131</v>
      </c>
      <c r="C105" s="124" t="s">
        <v>718</v>
      </c>
      <c r="D105" s="124" t="s">
        <v>164</v>
      </c>
      <c r="E105" s="124">
        <v>155</v>
      </c>
      <c r="F105" s="124" t="s">
        <v>131</v>
      </c>
      <c r="G105" s="124">
        <v>0.377</v>
      </c>
      <c r="H105" s="124" t="s">
        <v>428</v>
      </c>
      <c r="I105" s="124"/>
      <c r="J105" s="124"/>
      <c r="K105" s="124"/>
    </row>
    <row r="106" spans="1:11" ht="12.75">
      <c r="A106" s="124">
        <v>106</v>
      </c>
      <c r="B106" s="124" t="s">
        <v>131</v>
      </c>
      <c r="C106" s="124" t="s">
        <v>719</v>
      </c>
      <c r="D106" s="124" t="s">
        <v>165</v>
      </c>
      <c r="E106" s="124">
        <v>155</v>
      </c>
      <c r="F106" s="124" t="s">
        <v>131</v>
      </c>
      <c r="G106" s="124">
        <v>0.371</v>
      </c>
      <c r="H106" s="124" t="s">
        <v>429</v>
      </c>
      <c r="I106" s="124"/>
      <c r="J106" s="124"/>
      <c r="K106" s="124"/>
    </row>
    <row r="107" spans="1:11" ht="12.75">
      <c r="A107" s="124">
        <v>107</v>
      </c>
      <c r="B107" s="124" t="s">
        <v>131</v>
      </c>
      <c r="C107" s="124" t="s">
        <v>720</v>
      </c>
      <c r="D107" s="124" t="s">
        <v>166</v>
      </c>
      <c r="E107" s="124">
        <v>155</v>
      </c>
      <c r="F107" s="124" t="s">
        <v>131</v>
      </c>
      <c r="G107" s="124">
        <v>0.56</v>
      </c>
      <c r="H107" s="124" t="s">
        <v>430</v>
      </c>
      <c r="I107" s="124"/>
      <c r="J107" s="124"/>
      <c r="K107" s="124"/>
    </row>
    <row r="108" spans="1:11" ht="12.75">
      <c r="A108" s="124">
        <v>108</v>
      </c>
      <c r="B108" s="124" t="s">
        <v>131</v>
      </c>
      <c r="C108" s="124" t="s">
        <v>721</v>
      </c>
      <c r="D108" s="124" t="s">
        <v>167</v>
      </c>
      <c r="E108" s="124">
        <v>156</v>
      </c>
      <c r="F108" s="124" t="s">
        <v>131</v>
      </c>
      <c r="G108" s="124">
        <v>0.36</v>
      </c>
      <c r="H108" s="124" t="s">
        <v>431</v>
      </c>
      <c r="I108" s="124"/>
      <c r="J108" s="124"/>
      <c r="K108" s="124"/>
    </row>
    <row r="109" spans="1:11" ht="12.75">
      <c r="A109" s="124">
        <v>109</v>
      </c>
      <c r="B109" s="124" t="s">
        <v>131</v>
      </c>
      <c r="C109" s="124" t="s">
        <v>722</v>
      </c>
      <c r="D109" s="124" t="s">
        <v>168</v>
      </c>
      <c r="E109" s="124">
        <v>156</v>
      </c>
      <c r="F109" s="124" t="s">
        <v>131</v>
      </c>
      <c r="G109" s="124">
        <v>0.27</v>
      </c>
      <c r="H109" s="124" t="s">
        <v>432</v>
      </c>
      <c r="I109" s="124"/>
      <c r="J109" s="124"/>
      <c r="K109" s="124"/>
    </row>
    <row r="110" spans="1:11" ht="12.75">
      <c r="A110" s="124">
        <v>110</v>
      </c>
      <c r="B110" s="124" t="s">
        <v>131</v>
      </c>
      <c r="C110" s="124" t="s">
        <v>723</v>
      </c>
      <c r="D110" s="124" t="s">
        <v>169</v>
      </c>
      <c r="E110" s="124">
        <v>156</v>
      </c>
      <c r="F110" s="124" t="s">
        <v>131</v>
      </c>
      <c r="G110" s="124">
        <v>0.35</v>
      </c>
      <c r="H110" s="124" t="s">
        <v>433</v>
      </c>
      <c r="I110" s="124"/>
      <c r="J110" s="124"/>
      <c r="K110" s="124"/>
    </row>
    <row r="111" spans="1:11" ht="12.75">
      <c r="A111" s="124">
        <v>111</v>
      </c>
      <c r="B111" s="124" t="s">
        <v>131</v>
      </c>
      <c r="C111" s="124" t="s">
        <v>724</v>
      </c>
      <c r="D111" s="124" t="s">
        <v>170</v>
      </c>
      <c r="E111" s="124">
        <v>160</v>
      </c>
      <c r="F111" s="124" t="s">
        <v>131</v>
      </c>
      <c r="G111" s="124">
        <v>0.283</v>
      </c>
      <c r="H111" s="124" t="s">
        <v>434</v>
      </c>
      <c r="I111" s="124"/>
      <c r="J111" s="124"/>
      <c r="K111" s="124"/>
    </row>
    <row r="112" spans="1:11" ht="12.75">
      <c r="A112" s="124">
        <v>112</v>
      </c>
      <c r="B112" s="124" t="s">
        <v>131</v>
      </c>
      <c r="C112" s="124" t="s">
        <v>725</v>
      </c>
      <c r="D112" s="124" t="s">
        <v>171</v>
      </c>
      <c r="E112" s="124">
        <v>160</v>
      </c>
      <c r="F112" s="124" t="s">
        <v>131</v>
      </c>
      <c r="G112" s="124">
        <v>0.347</v>
      </c>
      <c r="H112" s="124" t="s">
        <v>435</v>
      </c>
      <c r="I112" s="124"/>
      <c r="J112" s="124"/>
      <c r="K112" s="124"/>
    </row>
    <row r="113" spans="1:11" ht="12.75">
      <c r="A113" s="124">
        <v>113</v>
      </c>
      <c r="B113" s="124" t="s">
        <v>172</v>
      </c>
      <c r="C113" s="124" t="s">
        <v>726</v>
      </c>
      <c r="D113" s="124" t="s">
        <v>173</v>
      </c>
      <c r="E113" s="124">
        <v>100</v>
      </c>
      <c r="F113" s="124" t="s">
        <v>172</v>
      </c>
      <c r="G113" s="124">
        <v>0.279</v>
      </c>
      <c r="H113" s="124" t="s">
        <v>436</v>
      </c>
      <c r="I113" s="124"/>
      <c r="J113" s="124"/>
      <c r="K113" s="124"/>
    </row>
    <row r="114" spans="1:11" ht="12.75">
      <c r="A114" s="124">
        <v>114</v>
      </c>
      <c r="B114" s="124" t="s">
        <v>172</v>
      </c>
      <c r="C114" s="124" t="s">
        <v>727</v>
      </c>
      <c r="D114" s="124" t="s">
        <v>174</v>
      </c>
      <c r="E114" s="124">
        <v>100</v>
      </c>
      <c r="F114" s="124" t="s">
        <v>172</v>
      </c>
      <c r="G114" s="124">
        <v>0.205</v>
      </c>
      <c r="H114" s="124" t="s">
        <v>437</v>
      </c>
      <c r="I114" s="124"/>
      <c r="J114" s="124"/>
      <c r="K114" s="124"/>
    </row>
    <row r="115" spans="1:11" ht="12.75">
      <c r="A115" s="124">
        <v>115</v>
      </c>
      <c r="B115" s="124" t="s">
        <v>172</v>
      </c>
      <c r="C115" s="124" t="s">
        <v>728</v>
      </c>
      <c r="D115" s="124" t="s">
        <v>175</v>
      </c>
      <c r="E115" s="124">
        <v>110</v>
      </c>
      <c r="F115" s="124" t="s">
        <v>176</v>
      </c>
      <c r="G115" s="124">
        <v>0.36</v>
      </c>
      <c r="H115" s="124" t="s">
        <v>438</v>
      </c>
      <c r="I115" s="124"/>
      <c r="J115" s="124"/>
      <c r="K115" s="124"/>
    </row>
    <row r="116" spans="1:11" ht="12.75">
      <c r="A116" s="124">
        <v>116</v>
      </c>
      <c r="B116" s="124" t="s">
        <v>172</v>
      </c>
      <c r="C116" s="124" t="s">
        <v>729</v>
      </c>
      <c r="D116" s="124" t="s">
        <v>177</v>
      </c>
      <c r="E116" s="124">
        <v>120</v>
      </c>
      <c r="F116" s="124" t="s">
        <v>172</v>
      </c>
      <c r="G116" s="124">
        <v>0.365</v>
      </c>
      <c r="H116" s="124" t="s">
        <v>439</v>
      </c>
      <c r="I116" s="124"/>
      <c r="J116" s="124"/>
      <c r="K116" s="124"/>
    </row>
    <row r="117" spans="1:11" ht="12.75">
      <c r="A117" s="124">
        <v>117</v>
      </c>
      <c r="B117" s="124" t="s">
        <v>172</v>
      </c>
      <c r="C117" s="124" t="s">
        <v>730</v>
      </c>
      <c r="D117" s="124" t="s">
        <v>178</v>
      </c>
      <c r="E117" s="124">
        <v>120</v>
      </c>
      <c r="F117" s="124" t="s">
        <v>172</v>
      </c>
      <c r="G117" s="124">
        <v>0.334</v>
      </c>
      <c r="H117" s="124" t="s">
        <v>440</v>
      </c>
      <c r="I117" s="124"/>
      <c r="J117" s="124"/>
      <c r="K117" s="124"/>
    </row>
    <row r="118" spans="1:11" ht="12.75">
      <c r="A118" s="124">
        <v>118</v>
      </c>
      <c r="B118" s="124" t="s">
        <v>172</v>
      </c>
      <c r="C118" s="124" t="s">
        <v>731</v>
      </c>
      <c r="D118" s="124" t="s">
        <v>179</v>
      </c>
      <c r="E118" s="124">
        <v>120</v>
      </c>
      <c r="F118" s="124" t="s">
        <v>172</v>
      </c>
      <c r="G118" s="124">
        <v>0.35</v>
      </c>
      <c r="H118" s="124" t="s">
        <v>441</v>
      </c>
      <c r="I118" s="124"/>
      <c r="J118" s="124"/>
      <c r="K118" s="124"/>
    </row>
    <row r="119" spans="1:11" ht="12.75">
      <c r="A119" s="124">
        <v>119</v>
      </c>
      <c r="B119" s="124" t="s">
        <v>172</v>
      </c>
      <c r="C119" s="124" t="s">
        <v>732</v>
      </c>
      <c r="D119" s="124" t="s">
        <v>180</v>
      </c>
      <c r="E119" s="124">
        <v>120</v>
      </c>
      <c r="F119" s="124" t="s">
        <v>172</v>
      </c>
      <c r="G119" s="124">
        <v>0.365</v>
      </c>
      <c r="H119" s="124" t="s">
        <v>442</v>
      </c>
      <c r="I119" s="124"/>
      <c r="J119" s="124"/>
      <c r="K119" s="124"/>
    </row>
    <row r="120" spans="1:11" ht="12.75">
      <c r="A120" s="124">
        <v>120</v>
      </c>
      <c r="B120" s="124" t="s">
        <v>181</v>
      </c>
      <c r="C120" s="124" t="s">
        <v>980</v>
      </c>
      <c r="D120" s="124" t="s">
        <v>182</v>
      </c>
      <c r="E120" s="124">
        <v>120</v>
      </c>
      <c r="F120" s="124" t="s">
        <v>172</v>
      </c>
      <c r="G120" s="124">
        <v>0.325</v>
      </c>
      <c r="H120" s="124" t="s">
        <v>443</v>
      </c>
      <c r="I120" s="124"/>
      <c r="J120" s="124"/>
      <c r="K120" s="124"/>
    </row>
    <row r="121" spans="1:11" ht="12.75">
      <c r="A121" s="124">
        <v>121</v>
      </c>
      <c r="B121" s="124" t="s">
        <v>172</v>
      </c>
      <c r="C121" s="124" t="s">
        <v>733</v>
      </c>
      <c r="D121" s="124" t="s">
        <v>183</v>
      </c>
      <c r="E121" s="124">
        <v>120</v>
      </c>
      <c r="F121" s="124" t="s">
        <v>172</v>
      </c>
      <c r="G121" s="124">
        <v>0.322</v>
      </c>
      <c r="H121" s="124" t="s">
        <v>444</v>
      </c>
      <c r="I121" s="124"/>
      <c r="J121" s="124"/>
      <c r="K121" s="124"/>
    </row>
    <row r="122" spans="1:11" ht="12.75">
      <c r="A122" s="124">
        <v>122</v>
      </c>
      <c r="B122" s="124" t="s">
        <v>172</v>
      </c>
      <c r="C122" s="124" t="s">
        <v>734</v>
      </c>
      <c r="D122" s="124" t="s">
        <v>184</v>
      </c>
      <c r="E122" s="124">
        <v>130</v>
      </c>
      <c r="F122" s="124" t="s">
        <v>172</v>
      </c>
      <c r="G122" s="124">
        <v>0.388</v>
      </c>
      <c r="H122" s="124" t="s">
        <v>445</v>
      </c>
      <c r="I122" s="124"/>
      <c r="J122" s="124"/>
      <c r="K122" s="124"/>
    </row>
    <row r="123" spans="1:11" ht="12.75">
      <c r="A123" s="124">
        <v>123</v>
      </c>
      <c r="B123" s="124" t="s">
        <v>172</v>
      </c>
      <c r="C123" s="124" t="s">
        <v>735</v>
      </c>
      <c r="D123" s="124" t="s">
        <v>185</v>
      </c>
      <c r="E123" s="124">
        <v>130</v>
      </c>
      <c r="F123" s="124" t="s">
        <v>172</v>
      </c>
      <c r="G123" s="124">
        <v>0.321</v>
      </c>
      <c r="H123" s="124" t="s">
        <v>446</v>
      </c>
      <c r="I123" s="124"/>
      <c r="J123" s="124"/>
      <c r="K123" s="124"/>
    </row>
    <row r="124" spans="1:11" ht="12.75">
      <c r="A124" s="124">
        <v>124</v>
      </c>
      <c r="B124" s="124" t="s">
        <v>172</v>
      </c>
      <c r="C124" s="124" t="s">
        <v>736</v>
      </c>
      <c r="D124" s="124" t="s">
        <v>186</v>
      </c>
      <c r="E124" s="124">
        <v>139</v>
      </c>
      <c r="F124" s="124" t="s">
        <v>172</v>
      </c>
      <c r="G124" s="124">
        <v>0.453</v>
      </c>
      <c r="H124" s="124" t="s">
        <v>447</v>
      </c>
      <c r="I124" s="124"/>
      <c r="J124" s="124"/>
      <c r="K124" s="124"/>
    </row>
    <row r="125" spans="1:11" ht="12.75">
      <c r="A125" s="124">
        <v>125</v>
      </c>
      <c r="B125" s="124" t="s">
        <v>172</v>
      </c>
      <c r="C125" s="124" t="s">
        <v>737</v>
      </c>
      <c r="D125" s="124" t="s">
        <v>187</v>
      </c>
      <c r="E125" s="124">
        <v>139</v>
      </c>
      <c r="F125" s="124" t="s">
        <v>172</v>
      </c>
      <c r="G125" s="124">
        <v>0.486</v>
      </c>
      <c r="H125" s="124" t="s">
        <v>448</v>
      </c>
      <c r="I125" s="124"/>
      <c r="J125" s="124"/>
      <c r="K125" s="124"/>
    </row>
    <row r="126" spans="1:11" ht="12.75">
      <c r="A126" s="124">
        <v>126</v>
      </c>
      <c r="B126" s="124" t="s">
        <v>172</v>
      </c>
      <c r="C126" s="124" t="s">
        <v>738</v>
      </c>
      <c r="D126" s="124" t="s">
        <v>188</v>
      </c>
      <c r="E126" s="124">
        <v>139</v>
      </c>
      <c r="F126" s="124" t="s">
        <v>172</v>
      </c>
      <c r="G126" s="124">
        <v>0.196</v>
      </c>
      <c r="H126" s="124" t="s">
        <v>449</v>
      </c>
      <c r="I126" s="124"/>
      <c r="J126" s="124"/>
      <c r="K126" s="124"/>
    </row>
    <row r="127" spans="1:11" ht="12.75">
      <c r="A127" s="124">
        <v>127</v>
      </c>
      <c r="B127" s="124" t="s">
        <v>172</v>
      </c>
      <c r="C127" s="124" t="s">
        <v>739</v>
      </c>
      <c r="D127" s="124" t="s">
        <v>189</v>
      </c>
      <c r="E127" s="124">
        <v>139</v>
      </c>
      <c r="F127" s="124" t="s">
        <v>172</v>
      </c>
      <c r="G127" s="124">
        <v>0.392</v>
      </c>
      <c r="H127" s="124" t="s">
        <v>450</v>
      </c>
      <c r="I127" s="124"/>
      <c r="J127" s="124"/>
      <c r="K127" s="124"/>
    </row>
    <row r="128" spans="1:11" ht="12.75">
      <c r="A128" s="124">
        <v>128</v>
      </c>
      <c r="B128" s="124" t="s">
        <v>172</v>
      </c>
      <c r="C128" s="124" t="s">
        <v>740</v>
      </c>
      <c r="D128" s="124" t="s">
        <v>190</v>
      </c>
      <c r="E128" s="124">
        <v>139</v>
      </c>
      <c r="F128" s="124" t="s">
        <v>172</v>
      </c>
      <c r="G128" s="124">
        <v>0.486</v>
      </c>
      <c r="H128" s="124" t="s">
        <v>451</v>
      </c>
      <c r="I128" s="124"/>
      <c r="J128" s="124"/>
      <c r="K128" s="124"/>
    </row>
    <row r="129" spans="1:11" ht="12.75">
      <c r="A129" s="124">
        <v>129</v>
      </c>
      <c r="B129" s="124" t="s">
        <v>172</v>
      </c>
      <c r="C129" s="124" t="s">
        <v>806</v>
      </c>
      <c r="D129" s="124" t="s">
        <v>191</v>
      </c>
      <c r="E129" s="124">
        <v>139</v>
      </c>
      <c r="F129" s="124" t="s">
        <v>104</v>
      </c>
      <c r="G129" s="124">
        <v>0.36</v>
      </c>
      <c r="H129" s="124" t="s">
        <v>452</v>
      </c>
      <c r="I129" s="124"/>
      <c r="J129" s="124"/>
      <c r="K129" s="124"/>
    </row>
    <row r="130" spans="1:11" ht="12.75">
      <c r="A130" s="124">
        <v>130</v>
      </c>
      <c r="B130" s="124" t="s">
        <v>181</v>
      </c>
      <c r="C130" s="124" t="s">
        <v>979</v>
      </c>
      <c r="D130" s="124" t="s">
        <v>192</v>
      </c>
      <c r="E130" s="124">
        <v>140</v>
      </c>
      <c r="F130" s="124" t="s">
        <v>172</v>
      </c>
      <c r="G130" s="124">
        <v>0.44</v>
      </c>
      <c r="H130" s="124" t="s">
        <v>453</v>
      </c>
      <c r="I130" s="124"/>
      <c r="J130" s="124"/>
      <c r="K130" s="124"/>
    </row>
    <row r="131" spans="1:11" ht="12.75">
      <c r="A131" s="124">
        <v>131</v>
      </c>
      <c r="B131" s="124" t="s">
        <v>172</v>
      </c>
      <c r="C131" s="124" t="s">
        <v>741</v>
      </c>
      <c r="D131" s="124" t="s">
        <v>193</v>
      </c>
      <c r="E131" s="124">
        <v>140</v>
      </c>
      <c r="F131" s="124" t="s">
        <v>172</v>
      </c>
      <c r="G131" s="124">
        <v>0.37</v>
      </c>
      <c r="H131" s="124" t="s">
        <v>454</v>
      </c>
      <c r="I131" s="124"/>
      <c r="J131" s="124"/>
      <c r="K131" s="124"/>
    </row>
    <row r="132" spans="1:11" ht="12.75">
      <c r="A132" s="124">
        <v>132</v>
      </c>
      <c r="B132" s="124" t="s">
        <v>172</v>
      </c>
      <c r="C132" s="124" t="s">
        <v>742</v>
      </c>
      <c r="D132" s="124" t="s">
        <v>194</v>
      </c>
      <c r="E132" s="124">
        <v>140</v>
      </c>
      <c r="F132" s="124" t="s">
        <v>172</v>
      </c>
      <c r="G132" s="124">
        <v>0.409</v>
      </c>
      <c r="H132" s="124" t="s">
        <v>455</v>
      </c>
      <c r="I132" s="124"/>
      <c r="J132" s="124"/>
      <c r="K132" s="124"/>
    </row>
    <row r="133" spans="1:11" ht="12.75">
      <c r="A133" s="124">
        <v>133</v>
      </c>
      <c r="B133" s="124" t="s">
        <v>181</v>
      </c>
      <c r="C133" s="124" t="s">
        <v>978</v>
      </c>
      <c r="D133" s="124" t="s">
        <v>195</v>
      </c>
      <c r="E133" s="124">
        <v>145</v>
      </c>
      <c r="F133" s="124" t="s">
        <v>172</v>
      </c>
      <c r="G133" s="124">
        <v>0.39</v>
      </c>
      <c r="H133" s="124" t="s">
        <v>456</v>
      </c>
      <c r="I133" s="124"/>
      <c r="J133" s="124"/>
      <c r="K133" s="124"/>
    </row>
    <row r="134" spans="1:11" ht="12.75">
      <c r="A134" s="124">
        <v>134</v>
      </c>
      <c r="B134" s="124" t="s">
        <v>172</v>
      </c>
      <c r="C134" s="124" t="s">
        <v>743</v>
      </c>
      <c r="D134" s="124" t="s">
        <v>196</v>
      </c>
      <c r="E134" s="124">
        <v>150</v>
      </c>
      <c r="F134" s="124" t="s">
        <v>172</v>
      </c>
      <c r="G134" s="124">
        <v>0.44</v>
      </c>
      <c r="H134" s="124" t="s">
        <v>457</v>
      </c>
      <c r="I134" s="124"/>
      <c r="J134" s="124"/>
      <c r="K134" s="124"/>
    </row>
    <row r="135" spans="1:11" ht="12.75">
      <c r="A135" s="124">
        <v>135</v>
      </c>
      <c r="B135" s="124" t="s">
        <v>172</v>
      </c>
      <c r="C135" s="124" t="s">
        <v>744</v>
      </c>
      <c r="D135" s="124" t="s">
        <v>197</v>
      </c>
      <c r="E135" s="124">
        <v>150</v>
      </c>
      <c r="F135" s="124" t="s">
        <v>176</v>
      </c>
      <c r="G135" s="124">
        <v>0.43</v>
      </c>
      <c r="H135" s="124" t="s">
        <v>458</v>
      </c>
      <c r="I135" s="124"/>
      <c r="J135" s="124"/>
      <c r="K135" s="124"/>
    </row>
    <row r="136" spans="1:11" ht="12.75">
      <c r="A136" s="124">
        <v>136</v>
      </c>
      <c r="B136" s="124" t="s">
        <v>181</v>
      </c>
      <c r="C136" s="124" t="s">
        <v>977</v>
      </c>
      <c r="D136" s="124" t="s">
        <v>198</v>
      </c>
      <c r="E136" s="124">
        <v>150</v>
      </c>
      <c r="F136" s="124" t="s">
        <v>172</v>
      </c>
      <c r="G136" s="124">
        <v>0.4</v>
      </c>
      <c r="H136" s="124" t="s">
        <v>459</v>
      </c>
      <c r="I136" s="124"/>
      <c r="J136" s="124"/>
      <c r="K136" s="124"/>
    </row>
    <row r="137" spans="1:11" ht="12.75">
      <c r="A137" s="124">
        <v>137</v>
      </c>
      <c r="B137" s="124" t="s">
        <v>172</v>
      </c>
      <c r="C137" s="124" t="s">
        <v>745</v>
      </c>
      <c r="D137" s="124" t="s">
        <v>199</v>
      </c>
      <c r="E137" s="124">
        <v>150</v>
      </c>
      <c r="F137" s="124" t="s">
        <v>172</v>
      </c>
      <c r="G137" s="124">
        <v>0.422</v>
      </c>
      <c r="H137" s="124" t="s">
        <v>460</v>
      </c>
      <c r="I137" s="124"/>
      <c r="J137" s="124"/>
      <c r="K137" s="124"/>
    </row>
    <row r="138" spans="1:11" ht="12.75">
      <c r="A138" s="124">
        <v>138</v>
      </c>
      <c r="B138" s="124" t="s">
        <v>172</v>
      </c>
      <c r="C138" s="124" t="s">
        <v>746</v>
      </c>
      <c r="D138" s="124" t="s">
        <v>200</v>
      </c>
      <c r="E138" s="124">
        <v>150</v>
      </c>
      <c r="F138" s="124" t="s">
        <v>172</v>
      </c>
      <c r="G138" s="124">
        <v>0.427</v>
      </c>
      <c r="H138" s="124" t="s">
        <v>461</v>
      </c>
      <c r="I138" s="124"/>
      <c r="J138" s="124"/>
      <c r="K138" s="124"/>
    </row>
    <row r="139" spans="1:11" ht="12.75">
      <c r="A139" s="124">
        <v>139</v>
      </c>
      <c r="B139" s="124" t="s">
        <v>172</v>
      </c>
      <c r="C139" s="124" t="s">
        <v>747</v>
      </c>
      <c r="D139" s="124" t="s">
        <v>201</v>
      </c>
      <c r="E139" s="124">
        <v>150</v>
      </c>
      <c r="F139" s="124" t="s">
        <v>172</v>
      </c>
      <c r="G139" s="124">
        <v>0.428</v>
      </c>
      <c r="H139" s="124" t="s">
        <v>462</v>
      </c>
      <c r="I139" s="124"/>
      <c r="J139" s="124"/>
      <c r="K139" s="124"/>
    </row>
    <row r="140" spans="1:11" ht="12.75">
      <c r="A140" s="124">
        <v>140</v>
      </c>
      <c r="B140" s="124" t="s">
        <v>172</v>
      </c>
      <c r="C140" s="124" t="s">
        <v>748</v>
      </c>
      <c r="D140" s="124" t="s">
        <v>202</v>
      </c>
      <c r="E140" s="124">
        <v>154</v>
      </c>
      <c r="F140" s="124" t="s">
        <v>172</v>
      </c>
      <c r="G140" s="124">
        <v>0.525</v>
      </c>
      <c r="H140" s="124" t="s">
        <v>463</v>
      </c>
      <c r="I140" s="124"/>
      <c r="J140" s="124"/>
      <c r="K140" s="124"/>
    </row>
    <row r="141" spans="1:11" ht="12.75">
      <c r="A141" s="124">
        <v>141</v>
      </c>
      <c r="B141" s="124" t="s">
        <v>172</v>
      </c>
      <c r="C141" s="124" t="s">
        <v>749</v>
      </c>
      <c r="D141" s="124" t="s">
        <v>203</v>
      </c>
      <c r="E141" s="124">
        <v>154</v>
      </c>
      <c r="F141" s="124" t="s">
        <v>172</v>
      </c>
      <c r="G141" s="124">
        <v>0.279</v>
      </c>
      <c r="H141" s="124" t="s">
        <v>464</v>
      </c>
      <c r="I141" s="124"/>
      <c r="J141" s="124"/>
      <c r="K141" s="124"/>
    </row>
    <row r="142" spans="1:11" ht="12.75">
      <c r="A142" s="124">
        <v>142</v>
      </c>
      <c r="B142" s="124" t="s">
        <v>172</v>
      </c>
      <c r="C142" s="124" t="s">
        <v>750</v>
      </c>
      <c r="D142" s="124" t="s">
        <v>204</v>
      </c>
      <c r="E142" s="124">
        <v>154</v>
      </c>
      <c r="F142" s="124" t="s">
        <v>172</v>
      </c>
      <c r="G142" s="124">
        <v>0.433</v>
      </c>
      <c r="H142" s="124" t="s">
        <v>465</v>
      </c>
      <c r="I142" s="124"/>
      <c r="J142" s="124"/>
      <c r="K142" s="124"/>
    </row>
    <row r="143" spans="1:11" ht="12.75">
      <c r="A143" s="124">
        <v>143</v>
      </c>
      <c r="B143" s="124" t="s">
        <v>172</v>
      </c>
      <c r="C143" s="124" t="s">
        <v>751</v>
      </c>
      <c r="D143" s="124" t="s">
        <v>205</v>
      </c>
      <c r="E143" s="124">
        <v>154</v>
      </c>
      <c r="F143" s="124" t="s">
        <v>172</v>
      </c>
      <c r="G143" s="124">
        <v>0.525</v>
      </c>
      <c r="H143" s="124" t="s">
        <v>466</v>
      </c>
      <c r="I143" s="124"/>
      <c r="J143" s="124"/>
      <c r="K143" s="124"/>
    </row>
    <row r="144" spans="1:11" ht="12.75">
      <c r="A144" s="124">
        <v>144</v>
      </c>
      <c r="B144" s="124" t="s">
        <v>172</v>
      </c>
      <c r="C144" s="124" t="s">
        <v>752</v>
      </c>
      <c r="D144" s="124" t="s">
        <v>206</v>
      </c>
      <c r="E144" s="124">
        <v>154</v>
      </c>
      <c r="F144" s="124" t="s">
        <v>172</v>
      </c>
      <c r="G144" s="124">
        <v>0.42</v>
      </c>
      <c r="H144" s="124" t="s">
        <v>467</v>
      </c>
      <c r="I144" s="124"/>
      <c r="J144" s="124"/>
      <c r="K144" s="124"/>
    </row>
    <row r="145" spans="1:11" ht="12.75">
      <c r="A145" s="124">
        <v>145</v>
      </c>
      <c r="B145" s="124" t="s">
        <v>172</v>
      </c>
      <c r="C145" s="124" t="s">
        <v>753</v>
      </c>
      <c r="D145" s="124" t="s">
        <v>207</v>
      </c>
      <c r="E145" s="124">
        <v>156</v>
      </c>
      <c r="F145" s="124" t="s">
        <v>172</v>
      </c>
      <c r="G145" s="124">
        <v>0.34</v>
      </c>
      <c r="H145" s="124" t="s">
        <v>468</v>
      </c>
      <c r="I145" s="124"/>
      <c r="J145" s="124"/>
      <c r="K145" s="124"/>
    </row>
    <row r="146" spans="1:11" ht="12.75">
      <c r="A146" s="124">
        <v>146</v>
      </c>
      <c r="B146" s="124" t="s">
        <v>181</v>
      </c>
      <c r="C146" s="124" t="s">
        <v>976</v>
      </c>
      <c r="D146" s="124" t="s">
        <v>208</v>
      </c>
      <c r="E146" s="124">
        <v>158</v>
      </c>
      <c r="F146" s="124" t="s">
        <v>172</v>
      </c>
      <c r="G146" s="124">
        <v>0.4</v>
      </c>
      <c r="H146" s="124" t="s">
        <v>469</v>
      </c>
      <c r="I146" s="124"/>
      <c r="J146" s="124"/>
      <c r="K146" s="124"/>
    </row>
    <row r="147" spans="1:11" ht="12.75">
      <c r="A147" s="124">
        <v>147</v>
      </c>
      <c r="B147" s="124" t="s">
        <v>172</v>
      </c>
      <c r="C147" s="124" t="s">
        <v>754</v>
      </c>
      <c r="D147" s="124" t="s">
        <v>209</v>
      </c>
      <c r="E147" s="124">
        <v>160</v>
      </c>
      <c r="F147" s="124" t="s">
        <v>172</v>
      </c>
      <c r="G147" s="124">
        <v>0.328</v>
      </c>
      <c r="H147" s="124" t="s">
        <v>470</v>
      </c>
      <c r="I147" s="124"/>
      <c r="J147" s="124"/>
      <c r="K147" s="124"/>
    </row>
    <row r="148" spans="1:11" ht="12.75">
      <c r="A148" s="124">
        <v>148</v>
      </c>
      <c r="B148" s="124" t="s">
        <v>172</v>
      </c>
      <c r="C148" s="124" t="s">
        <v>755</v>
      </c>
      <c r="D148" s="124" t="s">
        <v>210</v>
      </c>
      <c r="E148" s="124">
        <v>160</v>
      </c>
      <c r="F148" s="124" t="s">
        <v>172</v>
      </c>
      <c r="G148" s="124">
        <v>0.276</v>
      </c>
      <c r="H148" s="124" t="s">
        <v>471</v>
      </c>
      <c r="I148" s="124"/>
      <c r="J148" s="124"/>
      <c r="K148" s="124"/>
    </row>
    <row r="149" spans="1:11" ht="12.75">
      <c r="A149" s="124">
        <v>149</v>
      </c>
      <c r="B149" s="124" t="s">
        <v>181</v>
      </c>
      <c r="C149" s="124" t="s">
        <v>975</v>
      </c>
      <c r="D149" s="124" t="s">
        <v>211</v>
      </c>
      <c r="E149" s="124">
        <v>160</v>
      </c>
      <c r="F149" s="124" t="s">
        <v>172</v>
      </c>
      <c r="G149" s="124">
        <v>0.5</v>
      </c>
      <c r="H149" s="124" t="s">
        <v>472</v>
      </c>
      <c r="I149" s="124"/>
      <c r="J149" s="124"/>
      <c r="K149" s="124"/>
    </row>
    <row r="150" spans="1:11" ht="12.75">
      <c r="A150" s="124">
        <v>150</v>
      </c>
      <c r="B150" s="124" t="s">
        <v>172</v>
      </c>
      <c r="C150" s="124" t="s">
        <v>756</v>
      </c>
      <c r="D150" s="124" t="s">
        <v>212</v>
      </c>
      <c r="E150" s="124">
        <v>160</v>
      </c>
      <c r="F150" s="124" t="s">
        <v>172</v>
      </c>
      <c r="G150" s="124">
        <v>0.377</v>
      </c>
      <c r="H150" s="124" t="s">
        <v>473</v>
      </c>
      <c r="I150" s="124"/>
      <c r="J150" s="124"/>
      <c r="K150" s="124"/>
    </row>
    <row r="151" spans="1:11" ht="12.75">
      <c r="A151" s="124">
        <v>151</v>
      </c>
      <c r="B151" s="124" t="s">
        <v>172</v>
      </c>
      <c r="C151" s="124" t="s">
        <v>757</v>
      </c>
      <c r="D151" s="124" t="s">
        <v>213</v>
      </c>
      <c r="E151" s="124">
        <v>160</v>
      </c>
      <c r="F151" s="124" t="s">
        <v>172</v>
      </c>
      <c r="G151" s="124">
        <v>0.447</v>
      </c>
      <c r="H151" s="124" t="s">
        <v>474</v>
      </c>
      <c r="I151" s="124"/>
      <c r="J151" s="124"/>
      <c r="K151" s="124"/>
    </row>
    <row r="152" spans="1:11" ht="12.75">
      <c r="A152" s="124">
        <v>152</v>
      </c>
      <c r="B152" s="124" t="s">
        <v>172</v>
      </c>
      <c r="C152" s="124" t="s">
        <v>758</v>
      </c>
      <c r="D152" s="124" t="s">
        <v>214</v>
      </c>
      <c r="E152" s="124">
        <v>162</v>
      </c>
      <c r="F152" s="124" t="s">
        <v>172</v>
      </c>
      <c r="G152" s="124">
        <v>0.625</v>
      </c>
      <c r="H152" s="124" t="s">
        <v>475</v>
      </c>
      <c r="I152" s="124"/>
      <c r="J152" s="124"/>
      <c r="K152" s="124"/>
    </row>
    <row r="153" spans="1:11" ht="12.75">
      <c r="A153" s="124">
        <v>153</v>
      </c>
      <c r="B153" s="124" t="s">
        <v>172</v>
      </c>
      <c r="C153" s="124" t="s">
        <v>759</v>
      </c>
      <c r="D153" s="124" t="s">
        <v>215</v>
      </c>
      <c r="E153" s="124">
        <v>162</v>
      </c>
      <c r="F153" s="124" t="s">
        <v>172</v>
      </c>
      <c r="G153" s="124">
        <v>0.514</v>
      </c>
      <c r="H153" s="124" t="s">
        <v>476</v>
      </c>
      <c r="I153" s="124"/>
      <c r="J153" s="124"/>
      <c r="K153" s="124"/>
    </row>
    <row r="154" spans="1:11" ht="12.75">
      <c r="A154" s="124">
        <v>154</v>
      </c>
      <c r="B154" s="124" t="s">
        <v>172</v>
      </c>
      <c r="C154" s="124" t="s">
        <v>760</v>
      </c>
      <c r="D154" s="124" t="s">
        <v>216</v>
      </c>
      <c r="E154" s="124">
        <v>162</v>
      </c>
      <c r="F154" s="124" t="s">
        <v>172</v>
      </c>
      <c r="G154" s="124">
        <v>0.55</v>
      </c>
      <c r="H154" s="124" t="s">
        <v>477</v>
      </c>
      <c r="I154" s="124"/>
      <c r="J154" s="124"/>
      <c r="K154" s="124"/>
    </row>
    <row r="155" spans="1:11" ht="12.75">
      <c r="A155" s="124">
        <v>155</v>
      </c>
      <c r="B155" s="124" t="s">
        <v>172</v>
      </c>
      <c r="C155" s="124" t="s">
        <v>761</v>
      </c>
      <c r="D155" s="124" t="s">
        <v>124</v>
      </c>
      <c r="E155" s="124">
        <v>168</v>
      </c>
      <c r="F155" s="124" t="s">
        <v>172</v>
      </c>
      <c r="G155" s="124">
        <v>0.63</v>
      </c>
      <c r="H155" s="124" t="s">
        <v>478</v>
      </c>
      <c r="I155" s="124"/>
      <c r="J155" s="124"/>
      <c r="K155" s="124"/>
    </row>
    <row r="156" spans="1:11" ht="12.75">
      <c r="A156" s="124">
        <v>156</v>
      </c>
      <c r="B156" s="124" t="s">
        <v>172</v>
      </c>
      <c r="C156" s="124" t="s">
        <v>762</v>
      </c>
      <c r="D156" s="124" t="s">
        <v>217</v>
      </c>
      <c r="E156" s="124">
        <v>168</v>
      </c>
      <c r="F156" s="124" t="s">
        <v>172</v>
      </c>
      <c r="G156" s="124">
        <v>0.48</v>
      </c>
      <c r="H156" s="124" t="s">
        <v>479</v>
      </c>
      <c r="I156" s="124"/>
      <c r="J156" s="124"/>
      <c r="K156" s="124"/>
    </row>
    <row r="157" spans="1:11" ht="12.75">
      <c r="A157" s="124">
        <v>157</v>
      </c>
      <c r="B157" s="124" t="s">
        <v>172</v>
      </c>
      <c r="C157" s="124" t="s">
        <v>763</v>
      </c>
      <c r="D157" s="124" t="s">
        <v>218</v>
      </c>
      <c r="E157" s="124">
        <v>168</v>
      </c>
      <c r="F157" s="124" t="s">
        <v>172</v>
      </c>
      <c r="G157" s="124">
        <v>0.48</v>
      </c>
      <c r="H157" s="124" t="s">
        <v>480</v>
      </c>
      <c r="I157" s="124"/>
      <c r="J157" s="124"/>
      <c r="K157" s="124"/>
    </row>
    <row r="158" spans="1:11" ht="12.75">
      <c r="A158" s="124">
        <v>158</v>
      </c>
      <c r="B158" s="124" t="s">
        <v>172</v>
      </c>
      <c r="C158" s="124" t="s">
        <v>805</v>
      </c>
      <c r="D158" s="124" t="s">
        <v>219</v>
      </c>
      <c r="E158" s="124">
        <v>170</v>
      </c>
      <c r="F158" s="124" t="s">
        <v>104</v>
      </c>
      <c r="G158" s="124">
        <v>0.322</v>
      </c>
      <c r="H158" s="124" t="s">
        <v>481</v>
      </c>
      <c r="I158" s="124"/>
      <c r="J158" s="124"/>
      <c r="K158" s="124"/>
    </row>
    <row r="159" spans="1:11" ht="12.75">
      <c r="A159" s="124">
        <v>159</v>
      </c>
      <c r="B159" s="124" t="s">
        <v>172</v>
      </c>
      <c r="C159" s="124" t="s">
        <v>804</v>
      </c>
      <c r="D159" s="124" t="s">
        <v>220</v>
      </c>
      <c r="E159" s="124">
        <v>170</v>
      </c>
      <c r="F159" s="124" t="s">
        <v>104</v>
      </c>
      <c r="G159" s="124">
        <v>0.462</v>
      </c>
      <c r="H159" s="124" t="s">
        <v>482</v>
      </c>
      <c r="I159" s="124"/>
      <c r="J159" s="124"/>
      <c r="K159" s="124"/>
    </row>
    <row r="160" spans="1:11" ht="12.75">
      <c r="A160" s="124">
        <v>160</v>
      </c>
      <c r="B160" s="124" t="s">
        <v>172</v>
      </c>
      <c r="C160" s="124" t="s">
        <v>764</v>
      </c>
      <c r="D160" s="124" t="s">
        <v>221</v>
      </c>
      <c r="E160" s="124">
        <v>170</v>
      </c>
      <c r="F160" s="124" t="s">
        <v>172</v>
      </c>
      <c r="G160" s="124">
        <v>0.37</v>
      </c>
      <c r="H160" s="124" t="s">
        <v>483</v>
      </c>
      <c r="I160" s="124"/>
      <c r="J160" s="124"/>
      <c r="K160" s="124"/>
    </row>
    <row r="161" spans="1:11" ht="12.75">
      <c r="A161" s="124">
        <v>161</v>
      </c>
      <c r="B161" s="124" t="s">
        <v>172</v>
      </c>
      <c r="C161" s="124" t="s">
        <v>765</v>
      </c>
      <c r="D161" s="124" t="s">
        <v>222</v>
      </c>
      <c r="E161" s="124">
        <v>170</v>
      </c>
      <c r="F161" s="124" t="s">
        <v>172</v>
      </c>
      <c r="G161" s="124">
        <v>0.35</v>
      </c>
      <c r="H161" s="124" t="s">
        <v>484</v>
      </c>
      <c r="I161" s="124"/>
      <c r="J161" s="124"/>
      <c r="K161" s="124"/>
    </row>
    <row r="162" spans="1:11" ht="12.75">
      <c r="A162" s="124">
        <v>162</v>
      </c>
      <c r="B162" s="124" t="s">
        <v>172</v>
      </c>
      <c r="C162" s="124" t="s">
        <v>766</v>
      </c>
      <c r="D162" s="124" t="s">
        <v>223</v>
      </c>
      <c r="E162" s="124">
        <v>170</v>
      </c>
      <c r="F162" s="124" t="s">
        <v>172</v>
      </c>
      <c r="G162" s="124">
        <v>0.35</v>
      </c>
      <c r="H162" s="124" t="s">
        <v>485</v>
      </c>
      <c r="I162" s="124"/>
      <c r="J162" s="124"/>
      <c r="K162" s="124"/>
    </row>
    <row r="163" spans="1:11" ht="12.75">
      <c r="A163" s="124">
        <v>163</v>
      </c>
      <c r="B163" s="124" t="s">
        <v>172</v>
      </c>
      <c r="C163" s="124" t="s">
        <v>767</v>
      </c>
      <c r="D163" s="124" t="s">
        <v>224</v>
      </c>
      <c r="E163" s="124">
        <v>170</v>
      </c>
      <c r="F163" s="124" t="s">
        <v>172</v>
      </c>
      <c r="G163" s="124">
        <v>0.275</v>
      </c>
      <c r="H163" s="124" t="s">
        <v>486</v>
      </c>
      <c r="I163" s="124"/>
      <c r="J163" s="124"/>
      <c r="K163" s="124"/>
    </row>
    <row r="164" spans="1:11" ht="12.75">
      <c r="A164" s="124">
        <v>164</v>
      </c>
      <c r="B164" s="124" t="s">
        <v>172</v>
      </c>
      <c r="C164" s="124" t="s">
        <v>803</v>
      </c>
      <c r="D164" s="124" t="s">
        <v>225</v>
      </c>
      <c r="E164" s="124">
        <v>173</v>
      </c>
      <c r="F164" s="124" t="s">
        <v>104</v>
      </c>
      <c r="G164" s="124">
        <v>0.313</v>
      </c>
      <c r="H164" s="124" t="s">
        <v>487</v>
      </c>
      <c r="I164" s="124"/>
      <c r="J164" s="124"/>
      <c r="K164" s="124"/>
    </row>
    <row r="165" spans="1:11" ht="12.75">
      <c r="A165" s="124">
        <v>165</v>
      </c>
      <c r="B165" s="124" t="s">
        <v>172</v>
      </c>
      <c r="C165" s="124" t="s">
        <v>802</v>
      </c>
      <c r="D165" s="124" t="s">
        <v>226</v>
      </c>
      <c r="E165" s="124">
        <v>173</v>
      </c>
      <c r="F165" s="124" t="s">
        <v>104</v>
      </c>
      <c r="G165" s="124">
        <v>0.425</v>
      </c>
      <c r="H165" s="124" t="s">
        <v>488</v>
      </c>
      <c r="I165" s="124"/>
      <c r="J165" s="124"/>
      <c r="K165" s="124"/>
    </row>
    <row r="166" spans="1:11" ht="12.75">
      <c r="A166" s="124">
        <v>166</v>
      </c>
      <c r="B166" s="124" t="s">
        <v>172</v>
      </c>
      <c r="C166" s="124" t="s">
        <v>801</v>
      </c>
      <c r="D166" s="124" t="s">
        <v>227</v>
      </c>
      <c r="E166" s="124">
        <v>173</v>
      </c>
      <c r="F166" s="124" t="s">
        <v>104</v>
      </c>
      <c r="G166" s="124">
        <v>0.44</v>
      </c>
      <c r="H166" s="124" t="s">
        <v>489</v>
      </c>
      <c r="I166" s="124"/>
      <c r="J166" s="124"/>
      <c r="K166" s="124"/>
    </row>
    <row r="167" spans="1:11" ht="12.75">
      <c r="A167" s="124">
        <v>167</v>
      </c>
      <c r="B167" s="124" t="s">
        <v>181</v>
      </c>
      <c r="C167" s="124" t="s">
        <v>972</v>
      </c>
      <c r="D167" s="124" t="s">
        <v>228</v>
      </c>
      <c r="E167" s="124">
        <v>174</v>
      </c>
      <c r="F167" s="124" t="s">
        <v>172</v>
      </c>
      <c r="G167" s="124">
        <v>0.54</v>
      </c>
      <c r="H167" s="124" t="s">
        <v>490</v>
      </c>
      <c r="I167" s="124"/>
      <c r="J167" s="124"/>
      <c r="K167" s="124"/>
    </row>
    <row r="168" spans="1:11" ht="12.75">
      <c r="A168" s="124">
        <v>168</v>
      </c>
      <c r="B168" s="124" t="s">
        <v>181</v>
      </c>
      <c r="C168" s="124" t="s">
        <v>973</v>
      </c>
      <c r="D168" s="124" t="s">
        <v>229</v>
      </c>
      <c r="E168" s="124">
        <v>174</v>
      </c>
      <c r="F168" s="124" t="s">
        <v>172</v>
      </c>
      <c r="G168" s="124">
        <v>0.48</v>
      </c>
      <c r="H168" s="124" t="s">
        <v>491</v>
      </c>
      <c r="I168" s="124"/>
      <c r="J168" s="124"/>
      <c r="K168" s="124"/>
    </row>
    <row r="169" spans="1:11" ht="12.75">
      <c r="A169" s="124">
        <v>169</v>
      </c>
      <c r="B169" s="124" t="s">
        <v>181</v>
      </c>
      <c r="C169" s="124" t="s">
        <v>974</v>
      </c>
      <c r="D169" s="124" t="s">
        <v>230</v>
      </c>
      <c r="E169" s="124">
        <v>174</v>
      </c>
      <c r="F169" s="124" t="s">
        <v>172</v>
      </c>
      <c r="G169" s="124">
        <v>0.465</v>
      </c>
      <c r="H169" s="124" t="s">
        <v>492</v>
      </c>
      <c r="I169" s="124"/>
      <c r="J169" s="124"/>
      <c r="K169" s="124"/>
    </row>
    <row r="170" spans="1:11" ht="12.75">
      <c r="A170" s="124">
        <v>170</v>
      </c>
      <c r="B170" s="124" t="s">
        <v>172</v>
      </c>
      <c r="C170" s="124" t="s">
        <v>768</v>
      </c>
      <c r="D170" s="124" t="s">
        <v>209</v>
      </c>
      <c r="E170" s="124">
        <v>175</v>
      </c>
      <c r="F170" s="124" t="s">
        <v>172</v>
      </c>
      <c r="G170" s="124">
        <v>0.465</v>
      </c>
      <c r="H170" s="124" t="s">
        <v>493</v>
      </c>
      <c r="I170" s="124"/>
      <c r="J170" s="124"/>
      <c r="K170" s="124"/>
    </row>
    <row r="171" spans="1:11" ht="12.75">
      <c r="A171" s="124">
        <v>171</v>
      </c>
      <c r="B171" s="124" t="s">
        <v>172</v>
      </c>
      <c r="C171" s="124" t="s">
        <v>769</v>
      </c>
      <c r="D171" s="124" t="s">
        <v>231</v>
      </c>
      <c r="E171" s="124">
        <v>175</v>
      </c>
      <c r="F171" s="124" t="s">
        <v>172</v>
      </c>
      <c r="G171" s="124">
        <v>0.285</v>
      </c>
      <c r="H171" s="124" t="s">
        <v>494</v>
      </c>
      <c r="I171" s="124"/>
      <c r="J171" s="124"/>
      <c r="K171" s="124"/>
    </row>
    <row r="172" spans="1:11" ht="12.75">
      <c r="A172" s="124">
        <v>172</v>
      </c>
      <c r="B172" s="124" t="s">
        <v>172</v>
      </c>
      <c r="C172" s="124" t="s">
        <v>770</v>
      </c>
      <c r="D172" s="124" t="s">
        <v>232</v>
      </c>
      <c r="E172" s="124">
        <v>175</v>
      </c>
      <c r="F172" s="124" t="s">
        <v>172</v>
      </c>
      <c r="G172" s="124">
        <v>0.462</v>
      </c>
      <c r="H172" s="124" t="s">
        <v>495</v>
      </c>
      <c r="I172" s="124"/>
      <c r="J172" s="124"/>
      <c r="K172" s="124"/>
    </row>
    <row r="173" spans="1:11" ht="12.75">
      <c r="A173" s="124">
        <v>173</v>
      </c>
      <c r="B173" s="124" t="s">
        <v>172</v>
      </c>
      <c r="C173" s="124" t="s">
        <v>771</v>
      </c>
      <c r="D173" s="124" t="s">
        <v>233</v>
      </c>
      <c r="E173" s="124">
        <v>175</v>
      </c>
      <c r="F173" s="124" t="s">
        <v>172</v>
      </c>
      <c r="G173" s="124">
        <v>0.608</v>
      </c>
      <c r="H173" s="124" t="s">
        <v>496</v>
      </c>
      <c r="I173" s="124"/>
      <c r="J173" s="124"/>
      <c r="K173" s="124"/>
    </row>
    <row r="174" spans="1:11" ht="12.75">
      <c r="A174" s="124">
        <v>174</v>
      </c>
      <c r="B174" s="124" t="s">
        <v>172</v>
      </c>
      <c r="C174" s="124" t="s">
        <v>772</v>
      </c>
      <c r="D174" s="124" t="s">
        <v>234</v>
      </c>
      <c r="E174" s="124">
        <v>175</v>
      </c>
      <c r="F174" s="124" t="s">
        <v>172</v>
      </c>
      <c r="G174" s="124">
        <v>0.524</v>
      </c>
      <c r="H174" s="124" t="s">
        <v>497</v>
      </c>
      <c r="I174" s="124"/>
      <c r="J174" s="124"/>
      <c r="K174" s="124"/>
    </row>
    <row r="175" spans="1:11" ht="12.75">
      <c r="A175" s="124">
        <v>175</v>
      </c>
      <c r="B175" s="124" t="s">
        <v>172</v>
      </c>
      <c r="C175" s="124" t="s">
        <v>773</v>
      </c>
      <c r="D175" s="124" t="s">
        <v>124</v>
      </c>
      <c r="E175" s="124">
        <v>180</v>
      </c>
      <c r="F175" s="124" t="s">
        <v>172</v>
      </c>
      <c r="G175" s="124">
        <v>0.686</v>
      </c>
      <c r="H175" s="124" t="s">
        <v>498</v>
      </c>
      <c r="I175" s="124"/>
      <c r="J175" s="124"/>
      <c r="K175" s="124"/>
    </row>
    <row r="176" spans="1:11" ht="12.75">
      <c r="A176" s="124">
        <v>176</v>
      </c>
      <c r="B176" s="124" t="s">
        <v>97</v>
      </c>
      <c r="C176" s="124" t="s">
        <v>774</v>
      </c>
      <c r="D176" s="124" t="s">
        <v>235</v>
      </c>
      <c r="E176" s="124">
        <v>73</v>
      </c>
      <c r="F176" s="124" t="s">
        <v>97</v>
      </c>
      <c r="G176" s="124">
        <v>0.12</v>
      </c>
      <c r="H176" s="124" t="s">
        <v>499</v>
      </c>
      <c r="I176" s="124"/>
      <c r="J176" s="124"/>
      <c r="K176" s="124"/>
    </row>
    <row r="177" spans="1:11" ht="12.75">
      <c r="A177" s="124">
        <v>177</v>
      </c>
      <c r="B177" s="124" t="s">
        <v>97</v>
      </c>
      <c r="C177" s="124" t="s">
        <v>796</v>
      </c>
      <c r="D177" s="124" t="s">
        <v>237</v>
      </c>
      <c r="E177" s="124">
        <v>75</v>
      </c>
      <c r="F177" s="124" t="s">
        <v>236</v>
      </c>
      <c r="G177" s="124">
        <v>0.1277</v>
      </c>
      <c r="H177" s="124" t="s">
        <v>500</v>
      </c>
      <c r="I177" s="124"/>
      <c r="J177" s="124"/>
      <c r="K177" s="124"/>
    </row>
    <row r="178" spans="1:11" ht="12.75">
      <c r="A178" s="124">
        <v>178</v>
      </c>
      <c r="B178" s="124" t="s">
        <v>97</v>
      </c>
      <c r="C178" s="124" t="s">
        <v>775</v>
      </c>
      <c r="D178" s="124" t="s">
        <v>238</v>
      </c>
      <c r="E178" s="124">
        <v>85</v>
      </c>
      <c r="F178" s="124" t="s">
        <v>97</v>
      </c>
      <c r="G178" s="124">
        <v>0.1</v>
      </c>
      <c r="H178" s="124" t="s">
        <v>501</v>
      </c>
      <c r="I178" s="124"/>
      <c r="J178" s="124"/>
      <c r="K178" s="124"/>
    </row>
    <row r="179" spans="1:11" ht="12.75">
      <c r="A179" s="124">
        <v>179</v>
      </c>
      <c r="B179" s="124" t="s">
        <v>97</v>
      </c>
      <c r="C179" s="124" t="s">
        <v>776</v>
      </c>
      <c r="D179" s="124" t="s">
        <v>239</v>
      </c>
      <c r="E179" s="124">
        <v>90</v>
      </c>
      <c r="F179" s="124" t="s">
        <v>97</v>
      </c>
      <c r="G179" s="124">
        <v>0.142</v>
      </c>
      <c r="H179" s="124" t="s">
        <v>502</v>
      </c>
      <c r="I179" s="124"/>
      <c r="J179" s="124"/>
      <c r="K179" s="124"/>
    </row>
    <row r="180" spans="1:11" ht="12.75">
      <c r="A180" s="124">
        <v>180</v>
      </c>
      <c r="B180" s="124" t="s">
        <v>97</v>
      </c>
      <c r="C180" s="124" t="s">
        <v>795</v>
      </c>
      <c r="D180" s="124" t="s">
        <v>240</v>
      </c>
      <c r="E180" s="124">
        <v>93</v>
      </c>
      <c r="F180" s="124" t="s">
        <v>236</v>
      </c>
      <c r="G180" s="124">
        <v>0.166</v>
      </c>
      <c r="H180" s="124" t="s">
        <v>503</v>
      </c>
      <c r="I180" s="124"/>
      <c r="J180" s="124"/>
      <c r="K180" s="124"/>
    </row>
    <row r="181" spans="1:11" ht="12.75">
      <c r="A181" s="124">
        <v>181</v>
      </c>
      <c r="B181" s="124" t="s">
        <v>97</v>
      </c>
      <c r="C181" s="124" t="s">
        <v>777</v>
      </c>
      <c r="D181" s="124" t="s">
        <v>241</v>
      </c>
      <c r="E181" s="124">
        <v>100</v>
      </c>
      <c r="F181" s="124" t="s">
        <v>97</v>
      </c>
      <c r="G181" s="124">
        <v>0.152</v>
      </c>
      <c r="H181" s="124" t="s">
        <v>504</v>
      </c>
      <c r="I181" s="124"/>
      <c r="J181" s="124"/>
      <c r="K181" s="124"/>
    </row>
    <row r="182" spans="1:11" ht="12.75">
      <c r="A182" s="124">
        <v>182</v>
      </c>
      <c r="B182" s="124" t="s">
        <v>97</v>
      </c>
      <c r="C182" s="124" t="s">
        <v>794</v>
      </c>
      <c r="D182" s="124" t="s">
        <v>242</v>
      </c>
      <c r="E182" s="124">
        <v>100</v>
      </c>
      <c r="F182" s="124" t="s">
        <v>236</v>
      </c>
      <c r="G182" s="124">
        <v>0.17</v>
      </c>
      <c r="H182" s="124" t="s">
        <v>505</v>
      </c>
      <c r="I182" s="124"/>
      <c r="J182" s="124"/>
      <c r="K182" s="124"/>
    </row>
    <row r="183" spans="1:11" ht="12.75">
      <c r="A183" s="124">
        <v>183</v>
      </c>
      <c r="B183" s="124" t="s">
        <v>97</v>
      </c>
      <c r="C183" s="124" t="s">
        <v>778</v>
      </c>
      <c r="D183" s="124" t="s">
        <v>243</v>
      </c>
      <c r="E183" s="124">
        <v>105</v>
      </c>
      <c r="F183" s="124" t="s">
        <v>97</v>
      </c>
      <c r="G183" s="124">
        <v>0.168</v>
      </c>
      <c r="H183" s="124" t="s">
        <v>506</v>
      </c>
      <c r="I183" s="124"/>
      <c r="J183" s="124"/>
      <c r="K183" s="124"/>
    </row>
    <row r="184" spans="1:11" ht="12.75">
      <c r="A184" s="124">
        <v>184</v>
      </c>
      <c r="B184" s="124" t="s">
        <v>97</v>
      </c>
      <c r="C184" s="124" t="s">
        <v>779</v>
      </c>
      <c r="D184" s="124" t="s">
        <v>244</v>
      </c>
      <c r="E184" s="124">
        <v>110</v>
      </c>
      <c r="F184" s="124" t="s">
        <v>97</v>
      </c>
      <c r="G184" s="124">
        <v>0.283</v>
      </c>
      <c r="H184" s="124" t="s">
        <v>507</v>
      </c>
      <c r="I184" s="124"/>
      <c r="J184" s="124"/>
      <c r="K184" s="124"/>
    </row>
    <row r="185" spans="1:11" ht="12.75">
      <c r="A185" s="124">
        <v>185</v>
      </c>
      <c r="B185" s="124" t="s">
        <v>97</v>
      </c>
      <c r="C185" s="124" t="s">
        <v>780</v>
      </c>
      <c r="D185" s="124" t="s">
        <v>245</v>
      </c>
      <c r="E185" s="124">
        <v>110</v>
      </c>
      <c r="F185" s="124" t="s">
        <v>246</v>
      </c>
      <c r="G185" s="124">
        <v>0.178</v>
      </c>
      <c r="H185" s="124" t="s">
        <v>508</v>
      </c>
      <c r="I185" s="124"/>
      <c r="J185" s="124"/>
      <c r="K185" s="124"/>
    </row>
    <row r="186" spans="1:11" ht="12.75">
      <c r="A186" s="124">
        <v>186</v>
      </c>
      <c r="B186" s="124" t="s">
        <v>97</v>
      </c>
      <c r="C186" s="124" t="s">
        <v>842</v>
      </c>
      <c r="D186" s="124" t="s">
        <v>247</v>
      </c>
      <c r="E186" s="124">
        <v>110</v>
      </c>
      <c r="F186" s="124" t="s">
        <v>97</v>
      </c>
      <c r="G186" s="124">
        <v>0.15</v>
      </c>
      <c r="H186" s="124" t="s">
        <v>509</v>
      </c>
      <c r="I186" s="124"/>
      <c r="J186" s="124"/>
      <c r="K186" s="124"/>
    </row>
    <row r="187" spans="1:11" ht="12.75">
      <c r="A187" s="124">
        <v>187</v>
      </c>
      <c r="B187" s="124" t="s">
        <v>97</v>
      </c>
      <c r="C187" s="124" t="s">
        <v>843</v>
      </c>
      <c r="D187" s="124" t="s">
        <v>248</v>
      </c>
      <c r="E187" s="124">
        <v>110</v>
      </c>
      <c r="F187" s="124" t="s">
        <v>97</v>
      </c>
      <c r="G187" s="124">
        <v>0.295</v>
      </c>
      <c r="H187" s="124" t="s">
        <v>510</v>
      </c>
      <c r="I187" s="124"/>
      <c r="J187" s="124"/>
      <c r="K187" s="124"/>
    </row>
    <row r="188" spans="1:11" ht="12.75">
      <c r="A188" s="124">
        <v>188</v>
      </c>
      <c r="B188" s="124" t="s">
        <v>97</v>
      </c>
      <c r="C188" s="124" t="s">
        <v>844</v>
      </c>
      <c r="D188" s="124" t="s">
        <v>249</v>
      </c>
      <c r="E188" s="124">
        <v>110</v>
      </c>
      <c r="F188" s="124" t="s">
        <v>97</v>
      </c>
      <c r="G188" s="124">
        <v>0.256</v>
      </c>
      <c r="H188" s="124" t="s">
        <v>511</v>
      </c>
      <c r="I188" s="124"/>
      <c r="J188" s="124"/>
      <c r="K188" s="124"/>
    </row>
    <row r="189" spans="1:11" ht="12.75">
      <c r="A189" s="124">
        <v>189</v>
      </c>
      <c r="B189" s="124" t="s">
        <v>97</v>
      </c>
      <c r="C189" s="124" t="s">
        <v>845</v>
      </c>
      <c r="D189" s="124" t="s">
        <v>250</v>
      </c>
      <c r="E189" s="124">
        <v>110</v>
      </c>
      <c r="F189" s="124" t="s">
        <v>251</v>
      </c>
      <c r="G189" s="124">
        <v>0.2</v>
      </c>
      <c r="H189" s="124" t="s">
        <v>512</v>
      </c>
      <c r="I189" s="124"/>
      <c r="J189" s="124"/>
      <c r="K189" s="124"/>
    </row>
    <row r="190" spans="1:11" ht="12.75">
      <c r="A190" s="124">
        <v>190</v>
      </c>
      <c r="B190" s="124" t="s">
        <v>97</v>
      </c>
      <c r="C190" s="124" t="s">
        <v>846</v>
      </c>
      <c r="D190" s="124" t="s">
        <v>252</v>
      </c>
      <c r="E190" s="124">
        <v>110</v>
      </c>
      <c r="F190" s="124" t="s">
        <v>251</v>
      </c>
      <c r="G190" s="124">
        <v>0.204</v>
      </c>
      <c r="H190" s="124" t="s">
        <v>513</v>
      </c>
      <c r="I190" s="124"/>
      <c r="J190" s="124"/>
      <c r="K190" s="124"/>
    </row>
    <row r="191" spans="1:11" ht="12.75">
      <c r="A191" s="124">
        <v>191</v>
      </c>
      <c r="B191" s="124" t="s">
        <v>97</v>
      </c>
      <c r="C191" s="124" t="s">
        <v>847</v>
      </c>
      <c r="D191" s="124" t="s">
        <v>253</v>
      </c>
      <c r="E191" s="124">
        <v>110</v>
      </c>
      <c r="F191" s="124" t="s">
        <v>97</v>
      </c>
      <c r="G191" s="124">
        <v>0.142</v>
      </c>
      <c r="H191" s="124" t="s">
        <v>514</v>
      </c>
      <c r="I191" s="124"/>
      <c r="J191" s="124"/>
      <c r="K191" s="124"/>
    </row>
    <row r="192" spans="1:11" ht="12.75">
      <c r="A192" s="124">
        <v>192</v>
      </c>
      <c r="B192" s="124" t="s">
        <v>97</v>
      </c>
      <c r="C192" s="124" t="s">
        <v>848</v>
      </c>
      <c r="D192" s="124" t="s">
        <v>254</v>
      </c>
      <c r="E192" s="124">
        <v>110</v>
      </c>
      <c r="F192" s="124" t="s">
        <v>97</v>
      </c>
      <c r="G192" s="124">
        <v>0.174</v>
      </c>
      <c r="H192" s="124" t="s">
        <v>515</v>
      </c>
      <c r="I192" s="124"/>
      <c r="J192" s="124"/>
      <c r="K192" s="124"/>
    </row>
    <row r="193" spans="1:11" ht="12.75">
      <c r="A193" s="124">
        <v>193</v>
      </c>
      <c r="B193" s="124" t="s">
        <v>97</v>
      </c>
      <c r="C193" s="124" t="s">
        <v>849</v>
      </c>
      <c r="D193" s="124" t="s">
        <v>255</v>
      </c>
      <c r="E193" s="124">
        <v>110</v>
      </c>
      <c r="F193" s="124" t="s">
        <v>97</v>
      </c>
      <c r="G193" s="124">
        <v>0.142</v>
      </c>
      <c r="H193" s="124" t="s">
        <v>516</v>
      </c>
      <c r="I193" s="124"/>
      <c r="J193" s="124"/>
      <c r="K193" s="124"/>
    </row>
    <row r="194" spans="1:11" ht="12.75">
      <c r="A194" s="124">
        <v>194</v>
      </c>
      <c r="B194" s="124" t="s">
        <v>97</v>
      </c>
      <c r="C194" s="124" t="s">
        <v>797</v>
      </c>
      <c r="D194" s="124" t="s">
        <v>256</v>
      </c>
      <c r="E194" s="124">
        <v>123</v>
      </c>
      <c r="F194" s="124" t="s">
        <v>236</v>
      </c>
      <c r="G194" s="124">
        <v>0.28</v>
      </c>
      <c r="H194" s="124" t="s">
        <v>517</v>
      </c>
      <c r="I194" s="124"/>
      <c r="J194" s="124"/>
      <c r="K194" s="124"/>
    </row>
    <row r="195" spans="1:11" ht="12.75">
      <c r="A195" s="124">
        <v>195</v>
      </c>
      <c r="B195" s="124" t="s">
        <v>97</v>
      </c>
      <c r="C195" s="124" t="s">
        <v>798</v>
      </c>
      <c r="D195" s="124" t="s">
        <v>257</v>
      </c>
      <c r="E195" s="124">
        <v>123</v>
      </c>
      <c r="F195" s="124" t="s">
        <v>236</v>
      </c>
      <c r="G195" s="124">
        <v>0.28</v>
      </c>
      <c r="H195" s="124" t="s">
        <v>518</v>
      </c>
      <c r="I195" s="124"/>
      <c r="J195" s="124"/>
      <c r="K195" s="124"/>
    </row>
    <row r="196" spans="1:11" ht="12.75">
      <c r="A196" s="124">
        <v>196</v>
      </c>
      <c r="B196" s="124" t="s">
        <v>258</v>
      </c>
      <c r="C196" s="124" t="s">
        <v>971</v>
      </c>
      <c r="D196" s="124" t="s">
        <v>259</v>
      </c>
      <c r="E196" s="124">
        <v>123</v>
      </c>
      <c r="F196" s="124" t="s">
        <v>97</v>
      </c>
      <c r="G196" s="124">
        <v>0.29</v>
      </c>
      <c r="H196" s="124" t="s">
        <v>519</v>
      </c>
      <c r="I196" s="124"/>
      <c r="J196" s="124"/>
      <c r="K196" s="124"/>
    </row>
    <row r="197" spans="1:11" ht="12.75">
      <c r="A197" s="124">
        <v>197</v>
      </c>
      <c r="B197" s="124" t="s">
        <v>97</v>
      </c>
      <c r="C197" s="124" t="s">
        <v>850</v>
      </c>
      <c r="D197" s="124" t="s">
        <v>244</v>
      </c>
      <c r="E197" s="124">
        <v>125</v>
      </c>
      <c r="F197" s="124" t="s">
        <v>97</v>
      </c>
      <c r="G197" s="124">
        <v>0.322</v>
      </c>
      <c r="H197" s="124" t="s">
        <v>520</v>
      </c>
      <c r="I197" s="124"/>
      <c r="J197" s="124"/>
      <c r="K197" s="124"/>
    </row>
    <row r="198" spans="1:11" ht="12.75">
      <c r="A198" s="124">
        <v>198</v>
      </c>
      <c r="B198" s="124" t="s">
        <v>97</v>
      </c>
      <c r="C198" s="124" t="s">
        <v>851</v>
      </c>
      <c r="D198" s="124" t="s">
        <v>260</v>
      </c>
      <c r="E198" s="124">
        <v>125</v>
      </c>
      <c r="F198" s="124" t="s">
        <v>97</v>
      </c>
      <c r="G198" s="124">
        <v>0.27</v>
      </c>
      <c r="H198" s="124" t="s">
        <v>521</v>
      </c>
      <c r="I198" s="124"/>
      <c r="J198" s="124"/>
      <c r="K198" s="124"/>
    </row>
    <row r="199" spans="1:11" ht="12.75">
      <c r="A199" s="124">
        <v>199</v>
      </c>
      <c r="B199" s="124" t="s">
        <v>236</v>
      </c>
      <c r="C199" s="124" t="s">
        <v>799</v>
      </c>
      <c r="D199" s="124" t="s">
        <v>261</v>
      </c>
      <c r="E199" s="124">
        <v>125</v>
      </c>
      <c r="F199" s="124" t="s">
        <v>236</v>
      </c>
      <c r="G199" s="124">
        <v>0.2633</v>
      </c>
      <c r="H199" s="124" t="s">
        <v>522</v>
      </c>
      <c r="I199" s="124"/>
      <c r="J199" s="124"/>
      <c r="K199" s="124"/>
    </row>
    <row r="200" spans="1:11" ht="12.75">
      <c r="A200" s="124">
        <v>200</v>
      </c>
      <c r="B200" s="124" t="s">
        <v>97</v>
      </c>
      <c r="C200" s="124" t="s">
        <v>852</v>
      </c>
      <c r="D200" s="124" t="s">
        <v>262</v>
      </c>
      <c r="E200" s="124">
        <v>125</v>
      </c>
      <c r="F200" s="124" t="s">
        <v>97</v>
      </c>
      <c r="G200" s="124">
        <v>0.117</v>
      </c>
      <c r="H200" s="124" t="s">
        <v>523</v>
      </c>
      <c r="I200" s="124"/>
      <c r="J200" s="124"/>
      <c r="K200" s="124"/>
    </row>
    <row r="201" spans="1:11" ht="12.75">
      <c r="A201" s="124">
        <v>201</v>
      </c>
      <c r="B201" s="124" t="s">
        <v>97</v>
      </c>
      <c r="C201" s="124" t="s">
        <v>853</v>
      </c>
      <c r="D201" s="124" t="s">
        <v>263</v>
      </c>
      <c r="E201" s="124">
        <v>125</v>
      </c>
      <c r="F201" s="124" t="s">
        <v>97</v>
      </c>
      <c r="G201" s="124">
        <v>0.274</v>
      </c>
      <c r="H201" s="124" t="s">
        <v>524</v>
      </c>
      <c r="I201" s="124"/>
      <c r="J201" s="124"/>
      <c r="K201" s="124"/>
    </row>
    <row r="202" spans="1:11" ht="12.75">
      <c r="A202" s="124">
        <v>202</v>
      </c>
      <c r="B202" s="124" t="s">
        <v>97</v>
      </c>
      <c r="C202" s="124" t="s">
        <v>854</v>
      </c>
      <c r="D202" s="124" t="s">
        <v>264</v>
      </c>
      <c r="E202" s="124">
        <v>130</v>
      </c>
      <c r="F202" s="124" t="s">
        <v>97</v>
      </c>
      <c r="G202" s="124">
        <v>0.295</v>
      </c>
      <c r="H202" s="124" t="s">
        <v>525</v>
      </c>
      <c r="I202" s="124"/>
      <c r="J202" s="124"/>
      <c r="K202" s="124"/>
    </row>
    <row r="203" spans="1:11" ht="12.75">
      <c r="A203" s="124">
        <v>203</v>
      </c>
      <c r="B203" s="124" t="s">
        <v>97</v>
      </c>
      <c r="C203" s="124" t="s">
        <v>855</v>
      </c>
      <c r="D203" s="124" t="s">
        <v>265</v>
      </c>
      <c r="E203" s="124">
        <v>130</v>
      </c>
      <c r="F203" s="124" t="s">
        <v>97</v>
      </c>
      <c r="G203" s="124">
        <v>0.295</v>
      </c>
      <c r="H203" s="124" t="s">
        <v>526</v>
      </c>
      <c r="I203" s="124"/>
      <c r="J203" s="124"/>
      <c r="K203" s="124"/>
    </row>
    <row r="204" spans="1:11" ht="12.75">
      <c r="A204" s="124">
        <v>204</v>
      </c>
      <c r="B204" s="124" t="s">
        <v>97</v>
      </c>
      <c r="C204" s="124" t="s">
        <v>856</v>
      </c>
      <c r="D204" s="124" t="s">
        <v>266</v>
      </c>
      <c r="E204" s="124">
        <v>130</v>
      </c>
      <c r="F204" s="124" t="s">
        <v>97</v>
      </c>
      <c r="G204" s="124">
        <v>0.21</v>
      </c>
      <c r="H204" s="124" t="s">
        <v>527</v>
      </c>
      <c r="I204" s="124"/>
      <c r="J204" s="124"/>
      <c r="K204" s="124"/>
    </row>
    <row r="205" spans="1:11" ht="12.75">
      <c r="A205" s="124">
        <v>205</v>
      </c>
      <c r="B205" s="124" t="s">
        <v>97</v>
      </c>
      <c r="C205" s="124" t="s">
        <v>857</v>
      </c>
      <c r="D205" s="124" t="s">
        <v>267</v>
      </c>
      <c r="E205" s="124">
        <v>130</v>
      </c>
      <c r="F205" s="124" t="s">
        <v>251</v>
      </c>
      <c r="G205" s="124">
        <v>0.3</v>
      </c>
      <c r="H205" s="124" t="s">
        <v>528</v>
      </c>
      <c r="I205" s="124"/>
      <c r="J205" s="124"/>
      <c r="K205" s="124"/>
    </row>
    <row r="206" spans="1:11" ht="12.75">
      <c r="A206" s="124">
        <v>206</v>
      </c>
      <c r="B206" s="124" t="s">
        <v>97</v>
      </c>
      <c r="C206" s="124" t="s">
        <v>858</v>
      </c>
      <c r="D206" s="124" t="s">
        <v>244</v>
      </c>
      <c r="E206" s="124">
        <v>135</v>
      </c>
      <c r="F206" s="124" t="s">
        <v>97</v>
      </c>
      <c r="G206" s="124">
        <v>0.352</v>
      </c>
      <c r="H206" s="124" t="s">
        <v>529</v>
      </c>
      <c r="I206" s="124"/>
      <c r="J206" s="124"/>
      <c r="K206" s="124"/>
    </row>
    <row r="207" spans="1:11" ht="12.75">
      <c r="A207" s="124">
        <v>207</v>
      </c>
      <c r="B207" s="124" t="s">
        <v>97</v>
      </c>
      <c r="C207" s="124" t="s">
        <v>859</v>
      </c>
      <c r="D207" s="124" t="s">
        <v>268</v>
      </c>
      <c r="E207" s="124">
        <v>135</v>
      </c>
      <c r="F207" s="124" t="s">
        <v>97</v>
      </c>
      <c r="G207" s="124">
        <v>0.299</v>
      </c>
      <c r="H207" s="124" t="s">
        <v>530</v>
      </c>
      <c r="I207" s="124"/>
      <c r="J207" s="124"/>
      <c r="K207" s="124"/>
    </row>
    <row r="208" spans="1:11" ht="12.75">
      <c r="A208" s="124">
        <v>208</v>
      </c>
      <c r="B208" s="124" t="s">
        <v>258</v>
      </c>
      <c r="C208" s="124" t="s">
        <v>970</v>
      </c>
      <c r="D208" s="124" t="s">
        <v>269</v>
      </c>
      <c r="E208" s="124">
        <v>139</v>
      </c>
      <c r="F208" s="124" t="s">
        <v>97</v>
      </c>
      <c r="G208" s="124">
        <v>0.36</v>
      </c>
      <c r="H208" s="124" t="s">
        <v>531</v>
      </c>
      <c r="I208" s="124"/>
      <c r="J208" s="124"/>
      <c r="K208" s="124"/>
    </row>
    <row r="209" spans="1:11" ht="12.75">
      <c r="A209" s="124">
        <v>209</v>
      </c>
      <c r="B209" s="124" t="s">
        <v>258</v>
      </c>
      <c r="C209" s="124" t="s">
        <v>969</v>
      </c>
      <c r="D209" s="124" t="s">
        <v>270</v>
      </c>
      <c r="E209" s="124">
        <v>145</v>
      </c>
      <c r="F209" s="124" t="s">
        <v>97</v>
      </c>
      <c r="G209" s="124">
        <v>0.4</v>
      </c>
      <c r="H209" s="124" t="s">
        <v>532</v>
      </c>
      <c r="I209" s="124"/>
      <c r="J209" s="124"/>
      <c r="K209" s="124"/>
    </row>
    <row r="210" spans="1:11" ht="12.75">
      <c r="A210" s="124">
        <v>210</v>
      </c>
      <c r="B210" s="124" t="s">
        <v>97</v>
      </c>
      <c r="C210" s="124" t="s">
        <v>800</v>
      </c>
      <c r="D210" s="124" t="s">
        <v>271</v>
      </c>
      <c r="E210" s="124">
        <v>146</v>
      </c>
      <c r="F210" s="124" t="s">
        <v>236</v>
      </c>
      <c r="G210" s="124">
        <v>0.395</v>
      </c>
      <c r="H210" s="124" t="s">
        <v>533</v>
      </c>
      <c r="I210" s="124"/>
      <c r="J210" s="124"/>
      <c r="K210" s="124"/>
    </row>
    <row r="211" spans="1:11" ht="12.75">
      <c r="A211" s="124">
        <v>211</v>
      </c>
      <c r="B211" s="124" t="s">
        <v>97</v>
      </c>
      <c r="C211" s="124" t="s">
        <v>860</v>
      </c>
      <c r="D211" s="124" t="s">
        <v>272</v>
      </c>
      <c r="E211" s="124">
        <v>146</v>
      </c>
      <c r="F211" s="124" t="s">
        <v>97</v>
      </c>
      <c r="G211" s="124">
        <v>0.44</v>
      </c>
      <c r="H211" s="124" t="s">
        <v>534</v>
      </c>
      <c r="I211" s="124"/>
      <c r="J211" s="124"/>
      <c r="K211" s="124"/>
    </row>
    <row r="212" spans="1:11" ht="12.75">
      <c r="A212" s="124">
        <v>212</v>
      </c>
      <c r="B212" s="124" t="s">
        <v>97</v>
      </c>
      <c r="C212" s="124" t="s">
        <v>861</v>
      </c>
      <c r="D212" s="124" t="s">
        <v>244</v>
      </c>
      <c r="E212" s="124">
        <v>150</v>
      </c>
      <c r="F212" s="124" t="s">
        <v>97</v>
      </c>
      <c r="G212" s="124">
        <v>0.382</v>
      </c>
      <c r="H212" s="124" t="s">
        <v>535</v>
      </c>
      <c r="I212" s="124"/>
      <c r="J212" s="124"/>
      <c r="K212" s="124"/>
    </row>
    <row r="213" spans="1:11" ht="12.75">
      <c r="A213" s="124">
        <v>213</v>
      </c>
      <c r="B213" s="124" t="s">
        <v>97</v>
      </c>
      <c r="C213" s="124" t="s">
        <v>862</v>
      </c>
      <c r="D213" s="124" t="s">
        <v>273</v>
      </c>
      <c r="E213" s="124">
        <v>150</v>
      </c>
      <c r="F213" s="124" t="s">
        <v>97</v>
      </c>
      <c r="G213" s="124">
        <v>0.415</v>
      </c>
      <c r="H213" s="124" t="s">
        <v>536</v>
      </c>
      <c r="I213" s="124"/>
      <c r="J213" s="124"/>
      <c r="K213" s="124"/>
    </row>
    <row r="214" spans="1:11" ht="12.75">
      <c r="A214" s="124">
        <v>214</v>
      </c>
      <c r="B214" s="124" t="s">
        <v>97</v>
      </c>
      <c r="C214" s="124" t="s">
        <v>863</v>
      </c>
      <c r="D214" s="124" t="s">
        <v>274</v>
      </c>
      <c r="E214" s="124">
        <v>150</v>
      </c>
      <c r="F214" s="124" t="s">
        <v>97</v>
      </c>
      <c r="G214" s="124">
        <v>0.186</v>
      </c>
      <c r="H214" s="124" t="s">
        <v>537</v>
      </c>
      <c r="I214" s="124"/>
      <c r="J214" s="124"/>
      <c r="K214" s="124"/>
    </row>
    <row r="215" spans="1:11" ht="12.75">
      <c r="A215" s="124">
        <v>215</v>
      </c>
      <c r="B215" s="124" t="s">
        <v>97</v>
      </c>
      <c r="C215" s="124" t="s">
        <v>864</v>
      </c>
      <c r="D215" s="124" t="s">
        <v>275</v>
      </c>
      <c r="E215" s="124">
        <v>150</v>
      </c>
      <c r="F215" s="124" t="s">
        <v>97</v>
      </c>
      <c r="G215" s="124">
        <v>0.349</v>
      </c>
      <c r="H215" s="124" t="s">
        <v>538</v>
      </c>
      <c r="I215" s="124"/>
      <c r="J215" s="124"/>
      <c r="K215" s="124"/>
    </row>
    <row r="216" spans="1:11" ht="12.75">
      <c r="A216" s="124">
        <v>216</v>
      </c>
      <c r="B216" s="124" t="s">
        <v>97</v>
      </c>
      <c r="C216" s="124" t="s">
        <v>865</v>
      </c>
      <c r="D216" s="124" t="s">
        <v>276</v>
      </c>
      <c r="E216" s="124">
        <v>150</v>
      </c>
      <c r="F216" s="124" t="s">
        <v>97</v>
      </c>
      <c r="G216" s="124">
        <v>0.398</v>
      </c>
      <c r="H216" s="124" t="s">
        <v>539</v>
      </c>
      <c r="I216" s="124"/>
      <c r="J216" s="124"/>
      <c r="K216" s="124"/>
    </row>
    <row r="217" spans="1:11" ht="12.75">
      <c r="A217" s="124">
        <v>217</v>
      </c>
      <c r="B217" s="124" t="s">
        <v>97</v>
      </c>
      <c r="C217" s="124" t="s">
        <v>866</v>
      </c>
      <c r="D217" s="124" t="s">
        <v>277</v>
      </c>
      <c r="E217" s="124">
        <v>150</v>
      </c>
      <c r="F217" s="124" t="s">
        <v>97</v>
      </c>
      <c r="G217" s="124">
        <v>0.338</v>
      </c>
      <c r="H217" s="124" t="s">
        <v>540</v>
      </c>
      <c r="I217" s="124"/>
      <c r="J217" s="124"/>
      <c r="K217" s="124"/>
    </row>
    <row r="218" spans="1:11" ht="12.75">
      <c r="A218" s="124">
        <v>218</v>
      </c>
      <c r="B218" s="124" t="s">
        <v>97</v>
      </c>
      <c r="C218" s="124" t="s">
        <v>867</v>
      </c>
      <c r="D218" s="124" t="s">
        <v>278</v>
      </c>
      <c r="E218" s="124">
        <v>150</v>
      </c>
      <c r="F218" s="124" t="s">
        <v>97</v>
      </c>
      <c r="G218" s="124">
        <v>0.415</v>
      </c>
      <c r="H218" s="124" t="s">
        <v>541</v>
      </c>
      <c r="I218" s="124"/>
      <c r="J218" s="124"/>
      <c r="K218" s="124"/>
    </row>
    <row r="219" spans="1:11" ht="12.75">
      <c r="A219" s="124">
        <v>219</v>
      </c>
      <c r="B219" s="124" t="s">
        <v>97</v>
      </c>
      <c r="C219" s="124" t="s">
        <v>868</v>
      </c>
      <c r="D219" s="124" t="s">
        <v>279</v>
      </c>
      <c r="E219" s="124">
        <v>150</v>
      </c>
      <c r="F219" s="124" t="s">
        <v>97</v>
      </c>
      <c r="G219" s="124">
        <v>0.33</v>
      </c>
      <c r="H219" s="124" t="s">
        <v>542</v>
      </c>
      <c r="I219" s="124"/>
      <c r="J219" s="124"/>
      <c r="K219" s="124"/>
    </row>
    <row r="220" spans="1:11" ht="12.75">
      <c r="A220" s="124">
        <v>220</v>
      </c>
      <c r="B220" s="124" t="s">
        <v>97</v>
      </c>
      <c r="C220" s="124" t="s">
        <v>869</v>
      </c>
      <c r="D220" s="124" t="s">
        <v>280</v>
      </c>
      <c r="E220" s="124">
        <v>150</v>
      </c>
      <c r="F220" s="124" t="s">
        <v>97</v>
      </c>
      <c r="G220" s="124">
        <v>0.488</v>
      </c>
      <c r="H220" s="124" t="s">
        <v>543</v>
      </c>
      <c r="I220" s="124"/>
      <c r="J220" s="124"/>
      <c r="K220" s="124"/>
    </row>
    <row r="221" spans="1:11" ht="12.75">
      <c r="A221" s="124">
        <v>221</v>
      </c>
      <c r="B221" s="124" t="s">
        <v>97</v>
      </c>
      <c r="C221" s="124" t="s">
        <v>870</v>
      </c>
      <c r="D221" s="124" t="s">
        <v>281</v>
      </c>
      <c r="E221" s="124">
        <v>150</v>
      </c>
      <c r="F221" s="124" t="s">
        <v>97</v>
      </c>
      <c r="G221" s="124">
        <v>0.28</v>
      </c>
      <c r="H221" s="124" t="s">
        <v>544</v>
      </c>
      <c r="I221" s="124"/>
      <c r="J221" s="124"/>
      <c r="K221" s="124"/>
    </row>
    <row r="222" spans="1:11" ht="12.75">
      <c r="A222" s="124">
        <v>222</v>
      </c>
      <c r="B222" s="124" t="s">
        <v>97</v>
      </c>
      <c r="C222" s="124" t="s">
        <v>871</v>
      </c>
      <c r="D222" s="124" t="s">
        <v>282</v>
      </c>
      <c r="E222" s="124">
        <v>150</v>
      </c>
      <c r="F222" s="124" t="s">
        <v>97</v>
      </c>
      <c r="G222" s="124">
        <v>0.25</v>
      </c>
      <c r="H222" s="124" t="s">
        <v>545</v>
      </c>
      <c r="I222" s="124"/>
      <c r="J222" s="124"/>
      <c r="K222" s="124"/>
    </row>
    <row r="223" spans="1:11" ht="12.75">
      <c r="A223" s="124">
        <v>223</v>
      </c>
      <c r="B223" s="124" t="s">
        <v>97</v>
      </c>
      <c r="C223" s="124" t="s">
        <v>872</v>
      </c>
      <c r="D223" s="124" t="s">
        <v>283</v>
      </c>
      <c r="E223" s="124">
        <v>150</v>
      </c>
      <c r="F223" s="124" t="s">
        <v>97</v>
      </c>
      <c r="G223" s="124">
        <v>0.401</v>
      </c>
      <c r="H223" s="124" t="s">
        <v>546</v>
      </c>
      <c r="I223" s="124"/>
      <c r="J223" s="124"/>
      <c r="K223" s="124"/>
    </row>
    <row r="224" spans="1:11" ht="12.75">
      <c r="A224" s="124">
        <v>224</v>
      </c>
      <c r="B224" s="124" t="s">
        <v>97</v>
      </c>
      <c r="C224" s="124" t="s">
        <v>873</v>
      </c>
      <c r="D224" s="124" t="s">
        <v>284</v>
      </c>
      <c r="E224" s="124">
        <v>150</v>
      </c>
      <c r="F224" s="124" t="s">
        <v>97</v>
      </c>
      <c r="G224" s="124">
        <v>0.41</v>
      </c>
      <c r="H224" s="124" t="s">
        <v>547</v>
      </c>
      <c r="I224" s="124"/>
      <c r="J224" s="124"/>
      <c r="K224" s="124"/>
    </row>
    <row r="225" spans="1:11" ht="12.75">
      <c r="A225" s="124">
        <v>225</v>
      </c>
      <c r="B225" s="124" t="s">
        <v>97</v>
      </c>
      <c r="C225" s="124" t="s">
        <v>874</v>
      </c>
      <c r="D225" s="124" t="s">
        <v>285</v>
      </c>
      <c r="E225" s="124">
        <v>150</v>
      </c>
      <c r="F225" s="124" t="s">
        <v>97</v>
      </c>
      <c r="G225" s="124">
        <v>0.33</v>
      </c>
      <c r="H225" s="124" t="s">
        <v>548</v>
      </c>
      <c r="I225" s="124"/>
      <c r="J225" s="124"/>
      <c r="K225" s="124"/>
    </row>
    <row r="226" spans="1:11" ht="12.75">
      <c r="A226" s="124">
        <v>226</v>
      </c>
      <c r="B226" s="124" t="s">
        <v>97</v>
      </c>
      <c r="C226" s="124" t="s">
        <v>875</v>
      </c>
      <c r="D226" s="124" t="s">
        <v>286</v>
      </c>
      <c r="E226" s="124">
        <v>150</v>
      </c>
      <c r="F226" s="124" t="s">
        <v>97</v>
      </c>
      <c r="G226" s="124">
        <v>0.373</v>
      </c>
      <c r="H226" s="124" t="s">
        <v>549</v>
      </c>
      <c r="I226" s="124"/>
      <c r="J226" s="124"/>
      <c r="K226" s="124"/>
    </row>
    <row r="227" spans="1:11" ht="12.75">
      <c r="A227" s="124">
        <v>227</v>
      </c>
      <c r="B227" s="124" t="s">
        <v>97</v>
      </c>
      <c r="C227" s="124" t="s">
        <v>876</v>
      </c>
      <c r="D227" s="124" t="s">
        <v>287</v>
      </c>
      <c r="E227" s="124">
        <v>150</v>
      </c>
      <c r="F227" s="124" t="s">
        <v>97</v>
      </c>
      <c r="G227" s="124">
        <v>0.182</v>
      </c>
      <c r="H227" s="124" t="s">
        <v>550</v>
      </c>
      <c r="I227" s="124"/>
      <c r="J227" s="124"/>
      <c r="K227" s="124"/>
    </row>
    <row r="228" spans="1:11" ht="12.75">
      <c r="A228" s="124">
        <v>228</v>
      </c>
      <c r="B228" s="124" t="s">
        <v>97</v>
      </c>
      <c r="C228" s="124" t="s">
        <v>877</v>
      </c>
      <c r="D228" s="124" t="s">
        <v>288</v>
      </c>
      <c r="E228" s="124">
        <v>150</v>
      </c>
      <c r="F228" s="124" t="s">
        <v>97</v>
      </c>
      <c r="G228" s="124">
        <v>0.197</v>
      </c>
      <c r="H228" s="124" t="s">
        <v>551</v>
      </c>
      <c r="I228" s="124"/>
      <c r="J228" s="124"/>
      <c r="K228" s="124"/>
    </row>
    <row r="229" spans="1:11" ht="12.75">
      <c r="A229" s="124">
        <v>229</v>
      </c>
      <c r="B229" s="124" t="s">
        <v>97</v>
      </c>
      <c r="C229" s="124" t="s">
        <v>878</v>
      </c>
      <c r="D229" s="124" t="s">
        <v>124</v>
      </c>
      <c r="E229" s="124">
        <v>155</v>
      </c>
      <c r="F229" s="124" t="s">
        <v>97</v>
      </c>
      <c r="G229" s="124">
        <v>0.475</v>
      </c>
      <c r="H229" s="124" t="s">
        <v>552</v>
      </c>
      <c r="I229" s="124"/>
      <c r="J229" s="124"/>
      <c r="K229" s="124"/>
    </row>
    <row r="230" spans="1:11" ht="12.75">
      <c r="A230" s="124">
        <v>230</v>
      </c>
      <c r="B230" s="124" t="s">
        <v>97</v>
      </c>
      <c r="C230" s="124" t="s">
        <v>879</v>
      </c>
      <c r="D230" s="124" t="s">
        <v>289</v>
      </c>
      <c r="E230" s="124">
        <v>155</v>
      </c>
      <c r="F230" s="124" t="s">
        <v>97</v>
      </c>
      <c r="G230" s="124">
        <v>0.42</v>
      </c>
      <c r="H230" s="124" t="s">
        <v>553</v>
      </c>
      <c r="I230" s="124"/>
      <c r="J230" s="124"/>
      <c r="K230" s="124"/>
    </row>
    <row r="231" spans="1:11" ht="12.75">
      <c r="A231" s="124">
        <v>231</v>
      </c>
      <c r="B231" s="124" t="s">
        <v>97</v>
      </c>
      <c r="C231" s="124" t="s">
        <v>880</v>
      </c>
      <c r="D231" s="124" t="s">
        <v>290</v>
      </c>
      <c r="E231" s="124">
        <v>155</v>
      </c>
      <c r="F231" s="124" t="s">
        <v>97</v>
      </c>
      <c r="G231" s="124">
        <v>0.435</v>
      </c>
      <c r="H231" s="124" t="s">
        <v>554</v>
      </c>
      <c r="I231" s="124"/>
      <c r="J231" s="124"/>
      <c r="K231" s="124"/>
    </row>
    <row r="232" spans="1:11" ht="12.75">
      <c r="A232" s="124">
        <v>232</v>
      </c>
      <c r="B232" s="124" t="s">
        <v>97</v>
      </c>
      <c r="C232" s="124" t="s">
        <v>881</v>
      </c>
      <c r="D232" s="124" t="s">
        <v>291</v>
      </c>
      <c r="E232" s="124">
        <v>155</v>
      </c>
      <c r="F232" s="124" t="s">
        <v>97</v>
      </c>
      <c r="G232" s="124">
        <v>0.508</v>
      </c>
      <c r="H232" s="124" t="s">
        <v>555</v>
      </c>
      <c r="I232" s="124"/>
      <c r="J232" s="124"/>
      <c r="K232" s="124"/>
    </row>
    <row r="233" spans="1:11" ht="12.75">
      <c r="A233" s="124">
        <v>233</v>
      </c>
      <c r="B233" s="124" t="s">
        <v>97</v>
      </c>
      <c r="C233" s="124" t="s">
        <v>882</v>
      </c>
      <c r="D233" s="124" t="s">
        <v>292</v>
      </c>
      <c r="E233" s="124">
        <v>155</v>
      </c>
      <c r="F233" s="124" t="s">
        <v>97</v>
      </c>
      <c r="G233" s="124">
        <v>0.442</v>
      </c>
      <c r="H233" s="124" t="s">
        <v>556</v>
      </c>
      <c r="I233" s="124"/>
      <c r="J233" s="124"/>
      <c r="K233" s="124"/>
    </row>
    <row r="234" spans="1:11" ht="12.75">
      <c r="A234" s="124">
        <v>234</v>
      </c>
      <c r="B234" s="124" t="s">
        <v>97</v>
      </c>
      <c r="C234" s="124" t="s">
        <v>883</v>
      </c>
      <c r="D234" s="124" t="s">
        <v>293</v>
      </c>
      <c r="E234" s="124">
        <v>165</v>
      </c>
      <c r="F234" s="124" t="s">
        <v>97</v>
      </c>
      <c r="G234" s="124">
        <v>0.41</v>
      </c>
      <c r="H234" s="124" t="s">
        <v>557</v>
      </c>
      <c r="I234" s="124"/>
      <c r="J234" s="124"/>
      <c r="K234" s="124"/>
    </row>
    <row r="235" spans="1:11" ht="12.75">
      <c r="A235" s="124">
        <v>235</v>
      </c>
      <c r="B235" s="124" t="s">
        <v>97</v>
      </c>
      <c r="C235" s="124" t="s">
        <v>884</v>
      </c>
      <c r="D235" s="124" t="s">
        <v>294</v>
      </c>
      <c r="E235" s="124">
        <v>165</v>
      </c>
      <c r="F235" s="124" t="s">
        <v>97</v>
      </c>
      <c r="G235" s="124">
        <v>0.447</v>
      </c>
      <c r="H235" s="124" t="s">
        <v>558</v>
      </c>
      <c r="I235" s="124"/>
      <c r="J235" s="124"/>
      <c r="K235" s="124"/>
    </row>
    <row r="236" spans="1:11" ht="12.75">
      <c r="A236" s="124">
        <v>236</v>
      </c>
      <c r="B236" s="124" t="s">
        <v>97</v>
      </c>
      <c r="C236" s="124" t="s">
        <v>885</v>
      </c>
      <c r="D236" s="124" t="s">
        <v>295</v>
      </c>
      <c r="E236" s="124">
        <v>165</v>
      </c>
      <c r="F236" s="124" t="s">
        <v>97</v>
      </c>
      <c r="G236" s="124">
        <v>0.45</v>
      </c>
      <c r="H236" s="124" t="s">
        <v>559</v>
      </c>
      <c r="I236" s="124"/>
      <c r="J236" s="124"/>
      <c r="K236" s="124"/>
    </row>
    <row r="237" spans="1:11" ht="12.75">
      <c r="A237" s="124">
        <v>237</v>
      </c>
      <c r="B237" s="124" t="s">
        <v>97</v>
      </c>
      <c r="C237" s="124" t="s">
        <v>886</v>
      </c>
      <c r="D237" s="124" t="s">
        <v>296</v>
      </c>
      <c r="E237" s="124">
        <v>165</v>
      </c>
      <c r="F237" s="124" t="s">
        <v>97</v>
      </c>
      <c r="G237" s="124">
        <v>0.387</v>
      </c>
      <c r="H237" s="124" t="s">
        <v>560</v>
      </c>
      <c r="I237" s="124"/>
      <c r="J237" s="124"/>
      <c r="K237" s="124"/>
    </row>
    <row r="238" spans="1:11" ht="12.75">
      <c r="A238" s="124">
        <v>238</v>
      </c>
      <c r="B238" s="124" t="s">
        <v>97</v>
      </c>
      <c r="C238" s="124" t="s">
        <v>887</v>
      </c>
      <c r="D238" s="124" t="s">
        <v>297</v>
      </c>
      <c r="E238" s="124">
        <v>165</v>
      </c>
      <c r="F238" s="124" t="s">
        <v>97</v>
      </c>
      <c r="G238" s="124">
        <v>0.447</v>
      </c>
      <c r="H238" s="124" t="s">
        <v>561</v>
      </c>
      <c r="I238" s="124"/>
      <c r="J238" s="124"/>
      <c r="K238" s="124"/>
    </row>
    <row r="239" spans="1:11" ht="12.75">
      <c r="A239" s="124">
        <v>239</v>
      </c>
      <c r="B239" s="124" t="s">
        <v>97</v>
      </c>
      <c r="C239" s="124" t="s">
        <v>888</v>
      </c>
      <c r="D239" s="124" t="s">
        <v>298</v>
      </c>
      <c r="E239" s="124">
        <v>165</v>
      </c>
      <c r="F239" s="124" t="s">
        <v>97</v>
      </c>
      <c r="G239" s="124">
        <v>0.357</v>
      </c>
      <c r="H239" s="124" t="s">
        <v>562</v>
      </c>
      <c r="I239" s="124"/>
      <c r="J239" s="124"/>
      <c r="K239" s="124"/>
    </row>
    <row r="240" spans="1:11" ht="12.75">
      <c r="A240" s="124">
        <v>240</v>
      </c>
      <c r="B240" s="124" t="s">
        <v>97</v>
      </c>
      <c r="C240" s="124" t="s">
        <v>889</v>
      </c>
      <c r="D240" s="124" t="s">
        <v>299</v>
      </c>
      <c r="E240" s="124">
        <v>165</v>
      </c>
      <c r="F240" s="124" t="s">
        <v>97</v>
      </c>
      <c r="G240" s="124">
        <v>0.397</v>
      </c>
      <c r="H240" s="124" t="s">
        <v>563</v>
      </c>
      <c r="I240" s="124"/>
      <c r="J240" s="124"/>
      <c r="K240" s="124"/>
    </row>
    <row r="241" spans="1:11" ht="12.75">
      <c r="A241" s="124">
        <v>241</v>
      </c>
      <c r="B241" s="124" t="s">
        <v>97</v>
      </c>
      <c r="C241" s="124" t="s">
        <v>890</v>
      </c>
      <c r="D241" s="124" t="s">
        <v>300</v>
      </c>
      <c r="E241" s="124">
        <v>167</v>
      </c>
      <c r="F241" s="124" t="s">
        <v>97</v>
      </c>
      <c r="G241" s="124">
        <v>0.47</v>
      </c>
      <c r="H241" s="124" t="s">
        <v>564</v>
      </c>
      <c r="I241" s="124"/>
      <c r="J241" s="124"/>
      <c r="K241" s="124"/>
    </row>
    <row r="242" spans="1:11" ht="12.75">
      <c r="A242" s="124">
        <v>242</v>
      </c>
      <c r="B242" s="124" t="s">
        <v>97</v>
      </c>
      <c r="C242" s="124" t="s">
        <v>891</v>
      </c>
      <c r="D242" s="124" t="s">
        <v>124</v>
      </c>
      <c r="E242" s="124">
        <v>168</v>
      </c>
      <c r="F242" s="124" t="s">
        <v>97</v>
      </c>
      <c r="G242" s="124">
        <v>0.503</v>
      </c>
      <c r="H242" s="124" t="s">
        <v>565</v>
      </c>
      <c r="I242" s="124"/>
      <c r="J242" s="124"/>
      <c r="K242" s="124"/>
    </row>
    <row r="243" spans="1:11" ht="12.75">
      <c r="A243" s="124">
        <v>243</v>
      </c>
      <c r="B243" s="124" t="s">
        <v>97</v>
      </c>
      <c r="C243" s="124" t="s">
        <v>892</v>
      </c>
      <c r="D243" s="124" t="s">
        <v>301</v>
      </c>
      <c r="E243" s="124">
        <v>168</v>
      </c>
      <c r="F243" s="124" t="s">
        <v>97</v>
      </c>
      <c r="G243" s="124">
        <v>0.458</v>
      </c>
      <c r="H243" s="124" t="s">
        <v>566</v>
      </c>
      <c r="I243" s="124"/>
      <c r="J243" s="124"/>
      <c r="K243" s="124"/>
    </row>
    <row r="244" spans="1:11" ht="12.75">
      <c r="A244" s="124">
        <v>244</v>
      </c>
      <c r="B244" s="124" t="s">
        <v>97</v>
      </c>
      <c r="C244" s="124" t="s">
        <v>893</v>
      </c>
      <c r="D244" s="124" t="s">
        <v>302</v>
      </c>
      <c r="E244" s="124">
        <v>168</v>
      </c>
      <c r="F244" s="124" t="s">
        <v>97</v>
      </c>
      <c r="G244" s="124">
        <v>0.475</v>
      </c>
      <c r="H244" s="124" t="s">
        <v>567</v>
      </c>
      <c r="I244" s="124"/>
      <c r="J244" s="124"/>
      <c r="K244" s="124"/>
    </row>
    <row r="245" spans="1:11" ht="12.75">
      <c r="A245" s="124">
        <v>245</v>
      </c>
      <c r="B245" s="124" t="s">
        <v>97</v>
      </c>
      <c r="C245" s="124" t="s">
        <v>894</v>
      </c>
      <c r="D245" s="124" t="s">
        <v>303</v>
      </c>
      <c r="E245" s="124">
        <v>168</v>
      </c>
      <c r="F245" s="124" t="s">
        <v>97</v>
      </c>
      <c r="G245" s="124">
        <v>0.45</v>
      </c>
      <c r="H245" s="124" t="s">
        <v>568</v>
      </c>
      <c r="I245" s="124"/>
      <c r="J245" s="124"/>
      <c r="K245" s="124"/>
    </row>
    <row r="246" spans="1:11" ht="12.75">
      <c r="A246" s="124">
        <v>246</v>
      </c>
      <c r="B246" s="124" t="s">
        <v>97</v>
      </c>
      <c r="C246" s="124" t="s">
        <v>895</v>
      </c>
      <c r="D246" s="124" t="s">
        <v>304</v>
      </c>
      <c r="E246" s="124">
        <v>168</v>
      </c>
      <c r="F246" s="124" t="s">
        <v>97</v>
      </c>
      <c r="G246" s="124">
        <v>0.46</v>
      </c>
      <c r="H246" s="124" t="s">
        <v>569</v>
      </c>
      <c r="I246" s="124"/>
      <c r="J246" s="124"/>
      <c r="K246" s="124"/>
    </row>
    <row r="247" spans="1:11" ht="12.75">
      <c r="A247" s="124">
        <v>247</v>
      </c>
      <c r="B247" s="124" t="s">
        <v>97</v>
      </c>
      <c r="C247" s="124" t="s">
        <v>896</v>
      </c>
      <c r="D247" s="124" t="s">
        <v>305</v>
      </c>
      <c r="E247" s="124">
        <v>168</v>
      </c>
      <c r="F247" s="124" t="s">
        <v>97</v>
      </c>
      <c r="G247" s="124">
        <v>0.454</v>
      </c>
      <c r="H247" s="124" t="s">
        <v>570</v>
      </c>
      <c r="I247" s="124"/>
      <c r="J247" s="124"/>
      <c r="K247" s="124"/>
    </row>
    <row r="248" spans="1:11" ht="12.75">
      <c r="A248" s="124">
        <v>248</v>
      </c>
      <c r="B248" s="124" t="s">
        <v>97</v>
      </c>
      <c r="C248" s="124" t="s">
        <v>897</v>
      </c>
      <c r="D248" s="124" t="s">
        <v>306</v>
      </c>
      <c r="E248" s="124">
        <v>168</v>
      </c>
      <c r="F248" s="124" t="s">
        <v>97</v>
      </c>
      <c r="G248" s="124">
        <v>0.442</v>
      </c>
      <c r="H248" s="124" t="s">
        <v>571</v>
      </c>
      <c r="I248" s="124"/>
      <c r="J248" s="124"/>
      <c r="K248" s="124"/>
    </row>
    <row r="249" spans="1:11" ht="12.75">
      <c r="A249" s="124">
        <v>249</v>
      </c>
      <c r="B249" s="124" t="s">
        <v>97</v>
      </c>
      <c r="C249" s="124" t="s">
        <v>898</v>
      </c>
      <c r="D249" s="124" t="s">
        <v>307</v>
      </c>
      <c r="E249" s="124">
        <v>170</v>
      </c>
      <c r="F249" s="124" t="s">
        <v>97</v>
      </c>
      <c r="G249" s="124">
        <v>0.189</v>
      </c>
      <c r="H249" s="124" t="s">
        <v>572</v>
      </c>
      <c r="I249" s="124"/>
      <c r="J249" s="124"/>
      <c r="K249" s="124"/>
    </row>
    <row r="250" spans="1:11" ht="12.75">
      <c r="A250" s="124">
        <v>250</v>
      </c>
      <c r="B250" s="124" t="s">
        <v>97</v>
      </c>
      <c r="C250" s="124" t="s">
        <v>899</v>
      </c>
      <c r="D250" s="124" t="s">
        <v>308</v>
      </c>
      <c r="E250" s="124">
        <v>170</v>
      </c>
      <c r="F250" s="124" t="s">
        <v>97</v>
      </c>
      <c r="G250" s="124">
        <v>0.504</v>
      </c>
      <c r="H250" s="124" t="s">
        <v>573</v>
      </c>
      <c r="I250" s="124"/>
      <c r="J250" s="124"/>
      <c r="K250" s="124"/>
    </row>
    <row r="251" spans="1:11" ht="12.75">
      <c r="A251" s="124">
        <v>251</v>
      </c>
      <c r="B251" s="124" t="s">
        <v>97</v>
      </c>
      <c r="C251" s="124" t="s">
        <v>900</v>
      </c>
      <c r="D251" s="124" t="s">
        <v>309</v>
      </c>
      <c r="E251" s="124">
        <v>170</v>
      </c>
      <c r="F251" s="124" t="s">
        <v>97</v>
      </c>
      <c r="G251" s="124">
        <v>0.504</v>
      </c>
      <c r="H251" s="124" t="s">
        <v>574</v>
      </c>
      <c r="I251" s="124"/>
      <c r="J251" s="124"/>
      <c r="K251" s="124"/>
    </row>
    <row r="252" spans="1:11" ht="12.75">
      <c r="A252" s="124">
        <v>252</v>
      </c>
      <c r="B252" s="124" t="s">
        <v>97</v>
      </c>
      <c r="C252" s="124" t="s">
        <v>901</v>
      </c>
      <c r="D252" s="124" t="s">
        <v>310</v>
      </c>
      <c r="E252" s="124">
        <v>170</v>
      </c>
      <c r="F252" s="124" t="s">
        <v>97</v>
      </c>
      <c r="G252" s="124">
        <v>0.525</v>
      </c>
      <c r="H252" s="124" t="s">
        <v>575</v>
      </c>
      <c r="I252" s="124"/>
      <c r="J252" s="124"/>
      <c r="K252" s="124"/>
    </row>
    <row r="253" spans="1:11" ht="12.75">
      <c r="A253" s="124">
        <v>253</v>
      </c>
      <c r="B253" s="124" t="s">
        <v>97</v>
      </c>
      <c r="C253" s="124" t="s">
        <v>902</v>
      </c>
      <c r="D253" s="124" t="s">
        <v>311</v>
      </c>
      <c r="E253" s="124">
        <v>170</v>
      </c>
      <c r="F253" s="124" t="s">
        <v>251</v>
      </c>
      <c r="G253" s="124">
        <v>0.265</v>
      </c>
      <c r="H253" s="124" t="s">
        <v>576</v>
      </c>
      <c r="I253" s="124"/>
      <c r="J253" s="124"/>
      <c r="K253" s="124"/>
    </row>
    <row r="254" spans="1:11" ht="12.75">
      <c r="A254" s="124">
        <v>254</v>
      </c>
      <c r="B254" s="124" t="s">
        <v>258</v>
      </c>
      <c r="C254" s="124" t="s">
        <v>965</v>
      </c>
      <c r="D254" s="124" t="s">
        <v>312</v>
      </c>
      <c r="E254" s="124">
        <v>170</v>
      </c>
      <c r="F254" s="124" t="s">
        <v>97</v>
      </c>
      <c r="G254" s="124">
        <v>0.25</v>
      </c>
      <c r="H254" s="124" t="s">
        <v>577</v>
      </c>
      <c r="I254" s="124"/>
      <c r="J254" s="124"/>
      <c r="K254" s="124"/>
    </row>
    <row r="255" spans="1:11" ht="12.75">
      <c r="A255" s="124">
        <v>255</v>
      </c>
      <c r="B255" s="124" t="s">
        <v>97</v>
      </c>
      <c r="C255" s="124" t="s">
        <v>903</v>
      </c>
      <c r="D255" s="124" t="s">
        <v>313</v>
      </c>
      <c r="E255" s="124">
        <v>170</v>
      </c>
      <c r="F255" s="124" t="s">
        <v>97</v>
      </c>
      <c r="G255" s="124">
        <v>0.201</v>
      </c>
      <c r="H255" s="124" t="s">
        <v>578</v>
      </c>
      <c r="I255" s="124"/>
      <c r="J255" s="124"/>
      <c r="K255" s="124"/>
    </row>
    <row r="256" spans="1:11" ht="12.75">
      <c r="A256" s="124">
        <v>256</v>
      </c>
      <c r="B256" s="124" t="s">
        <v>258</v>
      </c>
      <c r="C256" s="124" t="s">
        <v>966</v>
      </c>
      <c r="D256" s="124" t="s">
        <v>314</v>
      </c>
      <c r="E256" s="124">
        <v>174</v>
      </c>
      <c r="F256" s="124" t="s">
        <v>97</v>
      </c>
      <c r="G256" s="124">
        <v>0.5</v>
      </c>
      <c r="H256" s="124" t="s">
        <v>579</v>
      </c>
      <c r="I256" s="124"/>
      <c r="J256" s="124"/>
      <c r="K256" s="124"/>
    </row>
    <row r="257" spans="1:11" ht="12.75">
      <c r="A257" s="124">
        <v>257</v>
      </c>
      <c r="B257" s="124" t="s">
        <v>258</v>
      </c>
      <c r="C257" s="124" t="s">
        <v>967</v>
      </c>
      <c r="D257" s="124" t="s">
        <v>315</v>
      </c>
      <c r="E257" s="124">
        <v>174</v>
      </c>
      <c r="F257" s="124" t="s">
        <v>97</v>
      </c>
      <c r="G257" s="124">
        <v>0.36</v>
      </c>
      <c r="H257" s="124" t="s">
        <v>580</v>
      </c>
      <c r="I257" s="124"/>
      <c r="J257" s="124"/>
      <c r="K257" s="124"/>
    </row>
    <row r="258" spans="1:11" ht="12.75">
      <c r="A258" s="124">
        <v>258</v>
      </c>
      <c r="B258" s="124" t="s">
        <v>97</v>
      </c>
      <c r="C258" s="124" t="s">
        <v>904</v>
      </c>
      <c r="D258" s="124" t="s">
        <v>124</v>
      </c>
      <c r="E258" s="124">
        <v>175</v>
      </c>
      <c r="F258" s="124" t="s">
        <v>97</v>
      </c>
      <c r="G258" s="124">
        <v>0.527</v>
      </c>
      <c r="H258" s="124" t="s">
        <v>581</v>
      </c>
      <c r="I258" s="124"/>
      <c r="J258" s="124"/>
      <c r="K258" s="124"/>
    </row>
    <row r="259" spans="1:11" ht="12.75">
      <c r="A259" s="124">
        <v>259</v>
      </c>
      <c r="B259" s="124" t="s">
        <v>258</v>
      </c>
      <c r="C259" s="124" t="s">
        <v>968</v>
      </c>
      <c r="D259" s="124" t="s">
        <v>316</v>
      </c>
      <c r="E259" s="124">
        <v>175</v>
      </c>
      <c r="F259" s="124" t="s">
        <v>97</v>
      </c>
      <c r="G259" s="124">
        <v>0.485</v>
      </c>
      <c r="H259" s="124" t="s">
        <v>582</v>
      </c>
      <c r="I259" s="124"/>
      <c r="J259" s="124"/>
      <c r="K259" s="124"/>
    </row>
    <row r="260" spans="1:11" ht="12.75">
      <c r="A260" s="124">
        <v>260</v>
      </c>
      <c r="B260" s="124" t="s">
        <v>97</v>
      </c>
      <c r="C260" s="124" t="s">
        <v>905</v>
      </c>
      <c r="D260" s="124" t="s">
        <v>317</v>
      </c>
      <c r="E260" s="124">
        <v>175</v>
      </c>
      <c r="F260" s="124" t="s">
        <v>97</v>
      </c>
      <c r="G260" s="124">
        <v>0.496</v>
      </c>
      <c r="H260" s="124" t="s">
        <v>583</v>
      </c>
      <c r="I260" s="124"/>
      <c r="J260" s="124"/>
      <c r="K260" s="124"/>
    </row>
    <row r="261" spans="1:11" ht="12.75">
      <c r="A261" s="124">
        <v>261</v>
      </c>
      <c r="B261" s="124" t="s">
        <v>97</v>
      </c>
      <c r="C261" s="124" t="s">
        <v>906</v>
      </c>
      <c r="D261" s="124" t="s">
        <v>318</v>
      </c>
      <c r="E261" s="124">
        <v>178</v>
      </c>
      <c r="F261" s="124" t="s">
        <v>97</v>
      </c>
      <c r="G261" s="124">
        <v>0.495</v>
      </c>
      <c r="H261" s="124" t="s">
        <v>584</v>
      </c>
      <c r="I261" s="124"/>
      <c r="J261" s="124"/>
      <c r="K261" s="124"/>
    </row>
    <row r="262" spans="1:11" ht="12.75">
      <c r="A262" s="124">
        <v>262</v>
      </c>
      <c r="B262" s="124" t="s">
        <v>97</v>
      </c>
      <c r="C262" s="124" t="s">
        <v>907</v>
      </c>
      <c r="D262" s="124" t="s">
        <v>319</v>
      </c>
      <c r="E262" s="124">
        <v>178</v>
      </c>
      <c r="F262" s="124" t="s">
        <v>97</v>
      </c>
      <c r="G262" s="124">
        <v>0.505</v>
      </c>
      <c r="H262" s="124" t="s">
        <v>585</v>
      </c>
      <c r="I262" s="124"/>
      <c r="J262" s="124"/>
      <c r="K262" s="124"/>
    </row>
    <row r="263" spans="1:11" ht="12.75">
      <c r="A263" s="124">
        <v>263</v>
      </c>
      <c r="B263" s="124" t="s">
        <v>97</v>
      </c>
      <c r="C263" s="124" t="s">
        <v>908</v>
      </c>
      <c r="D263" s="124" t="s">
        <v>293</v>
      </c>
      <c r="E263" s="124">
        <v>180</v>
      </c>
      <c r="F263" s="124" t="s">
        <v>97</v>
      </c>
      <c r="G263" s="124">
        <v>0.315</v>
      </c>
      <c r="H263" s="124" t="s">
        <v>586</v>
      </c>
      <c r="I263" s="124"/>
      <c r="J263" s="124"/>
      <c r="K263" s="124"/>
    </row>
    <row r="264" spans="1:11" ht="12.75">
      <c r="A264" s="124">
        <v>264</v>
      </c>
      <c r="B264" s="124" t="s">
        <v>97</v>
      </c>
      <c r="C264" s="124" t="s">
        <v>909</v>
      </c>
      <c r="D264" s="124" t="s">
        <v>320</v>
      </c>
      <c r="E264" s="124">
        <v>180</v>
      </c>
      <c r="F264" s="124" t="s">
        <v>97</v>
      </c>
      <c r="G264" s="124">
        <v>0.48</v>
      </c>
      <c r="H264" s="124" t="s">
        <v>587</v>
      </c>
      <c r="I264" s="124"/>
      <c r="J264" s="124"/>
      <c r="K264" s="124"/>
    </row>
    <row r="265" spans="1:11" ht="12.75">
      <c r="A265" s="124">
        <v>265</v>
      </c>
      <c r="B265" s="124" t="s">
        <v>97</v>
      </c>
      <c r="C265" s="124" t="s">
        <v>910</v>
      </c>
      <c r="D265" s="124" t="s">
        <v>321</v>
      </c>
      <c r="E265" s="124">
        <v>180</v>
      </c>
      <c r="F265" s="124" t="s">
        <v>97</v>
      </c>
      <c r="G265" s="124">
        <v>0.241</v>
      </c>
      <c r="H265" s="124" t="s">
        <v>588</v>
      </c>
      <c r="I265" s="124"/>
      <c r="J265" s="124"/>
      <c r="K265" s="124"/>
    </row>
    <row r="266" spans="1:11" ht="12.75">
      <c r="A266" s="124">
        <v>266</v>
      </c>
      <c r="B266" s="124" t="s">
        <v>97</v>
      </c>
      <c r="C266" s="124" t="s">
        <v>911</v>
      </c>
      <c r="D266" s="124" t="s">
        <v>322</v>
      </c>
      <c r="E266" s="124">
        <v>180</v>
      </c>
      <c r="F266" s="124" t="s">
        <v>97</v>
      </c>
      <c r="G266" s="124">
        <v>0.452</v>
      </c>
      <c r="H266" s="124" t="s">
        <v>589</v>
      </c>
      <c r="I266" s="124"/>
      <c r="J266" s="124"/>
      <c r="K266" s="124"/>
    </row>
    <row r="267" spans="1:11" ht="12.75">
      <c r="A267" s="124">
        <v>267</v>
      </c>
      <c r="B267" s="124" t="s">
        <v>97</v>
      </c>
      <c r="C267" s="124" t="s">
        <v>912</v>
      </c>
      <c r="D267" s="124" t="s">
        <v>323</v>
      </c>
      <c r="E267" s="124">
        <v>180</v>
      </c>
      <c r="F267" s="124" t="s">
        <v>97</v>
      </c>
      <c r="G267" s="124">
        <v>0.425</v>
      </c>
      <c r="H267" s="124" t="s">
        <v>590</v>
      </c>
      <c r="I267" s="124"/>
      <c r="J267" s="124"/>
      <c r="K267" s="124"/>
    </row>
    <row r="268" spans="1:11" ht="12.75">
      <c r="A268" s="124">
        <v>268</v>
      </c>
      <c r="B268" s="124" t="s">
        <v>97</v>
      </c>
      <c r="C268" s="124" t="s">
        <v>913</v>
      </c>
      <c r="D268" s="124" t="s">
        <v>324</v>
      </c>
      <c r="E268" s="124">
        <v>180</v>
      </c>
      <c r="F268" s="124" t="s">
        <v>97</v>
      </c>
      <c r="G268" s="124">
        <v>0.48</v>
      </c>
      <c r="H268" s="124" t="s">
        <v>591</v>
      </c>
      <c r="I268" s="124"/>
      <c r="J268" s="124"/>
      <c r="K268" s="124"/>
    </row>
    <row r="269" spans="1:11" ht="12.75">
      <c r="A269" s="124">
        <v>269</v>
      </c>
      <c r="B269" s="124" t="s">
        <v>97</v>
      </c>
      <c r="C269" s="124" t="s">
        <v>914</v>
      </c>
      <c r="D269" s="124" t="s">
        <v>325</v>
      </c>
      <c r="E269" s="124">
        <v>180</v>
      </c>
      <c r="F269" s="124" t="s">
        <v>97</v>
      </c>
      <c r="G269" s="124">
        <v>0.301</v>
      </c>
      <c r="H269" s="124" t="s">
        <v>592</v>
      </c>
      <c r="I269" s="124"/>
      <c r="J269" s="124"/>
      <c r="K269" s="124"/>
    </row>
    <row r="270" spans="1:11" ht="12.75">
      <c r="A270" s="124">
        <v>270</v>
      </c>
      <c r="B270" s="124" t="s">
        <v>97</v>
      </c>
      <c r="C270" s="124" t="s">
        <v>915</v>
      </c>
      <c r="D270" s="124" t="s">
        <v>326</v>
      </c>
      <c r="E270" s="124">
        <v>180</v>
      </c>
      <c r="F270" s="124" t="s">
        <v>97</v>
      </c>
      <c r="G270" s="124">
        <v>0.335</v>
      </c>
      <c r="H270" s="124" t="s">
        <v>593</v>
      </c>
      <c r="I270" s="124"/>
      <c r="J270" s="124"/>
      <c r="K270" s="124"/>
    </row>
    <row r="271" spans="1:11" ht="12.75">
      <c r="A271" s="124">
        <v>271</v>
      </c>
      <c r="B271" s="124" t="s">
        <v>97</v>
      </c>
      <c r="C271" s="124" t="s">
        <v>916</v>
      </c>
      <c r="D271" s="124" t="s">
        <v>327</v>
      </c>
      <c r="E271" s="124">
        <v>180</v>
      </c>
      <c r="F271" s="124" t="s">
        <v>97</v>
      </c>
      <c r="G271" s="124">
        <v>0.36</v>
      </c>
      <c r="H271" s="124" t="s">
        <v>594</v>
      </c>
      <c r="I271" s="124"/>
      <c r="J271" s="124"/>
      <c r="K271" s="124"/>
    </row>
    <row r="272" spans="1:11" ht="12.75">
      <c r="A272" s="124">
        <v>272</v>
      </c>
      <c r="B272" s="124" t="s">
        <v>97</v>
      </c>
      <c r="C272" s="124" t="s">
        <v>917</v>
      </c>
      <c r="D272" s="124" t="s">
        <v>328</v>
      </c>
      <c r="E272" s="124">
        <v>180</v>
      </c>
      <c r="F272" s="124" t="s">
        <v>97</v>
      </c>
      <c r="G272" s="124">
        <v>0.31</v>
      </c>
      <c r="H272" s="124" t="s">
        <v>595</v>
      </c>
      <c r="I272" s="124"/>
      <c r="J272" s="124"/>
      <c r="K272" s="124"/>
    </row>
    <row r="273" spans="1:11" ht="12.75">
      <c r="A273" s="124">
        <v>273</v>
      </c>
      <c r="B273" s="124" t="s">
        <v>97</v>
      </c>
      <c r="C273" s="124" t="s">
        <v>918</v>
      </c>
      <c r="D273" s="124" t="s">
        <v>329</v>
      </c>
      <c r="E273" s="124">
        <v>180</v>
      </c>
      <c r="F273" s="124" t="s">
        <v>97</v>
      </c>
      <c r="G273" s="124">
        <v>0.4</v>
      </c>
      <c r="H273" s="124" t="s">
        <v>596</v>
      </c>
      <c r="I273" s="124"/>
      <c r="J273" s="124"/>
      <c r="K273" s="124"/>
    </row>
    <row r="274" spans="1:11" ht="12.75">
      <c r="A274" s="124">
        <v>274</v>
      </c>
      <c r="B274" s="124" t="s">
        <v>97</v>
      </c>
      <c r="C274" s="124" t="s">
        <v>919</v>
      </c>
      <c r="D274" s="124" t="s">
        <v>330</v>
      </c>
      <c r="E274" s="124">
        <v>180</v>
      </c>
      <c r="F274" s="124" t="s">
        <v>97</v>
      </c>
      <c r="G274" s="124">
        <v>0.4</v>
      </c>
      <c r="H274" s="124" t="s">
        <v>597</v>
      </c>
      <c r="I274" s="124"/>
      <c r="J274" s="124"/>
      <c r="K274" s="124"/>
    </row>
    <row r="275" spans="1:11" ht="12.75">
      <c r="A275" s="124">
        <v>275</v>
      </c>
      <c r="B275" s="124" t="s">
        <v>97</v>
      </c>
      <c r="C275" s="124" t="s">
        <v>920</v>
      </c>
      <c r="D275" s="124" t="s">
        <v>331</v>
      </c>
      <c r="E275" s="124">
        <v>180</v>
      </c>
      <c r="F275" s="124" t="s">
        <v>97</v>
      </c>
      <c r="G275" s="124">
        <v>0.25</v>
      </c>
      <c r="H275" s="124" t="s">
        <v>598</v>
      </c>
      <c r="I275" s="124"/>
      <c r="J275" s="124"/>
      <c r="K275" s="124"/>
    </row>
    <row r="276" spans="1:11" ht="12.75">
      <c r="A276" s="124">
        <v>276</v>
      </c>
      <c r="B276" s="124" t="s">
        <v>97</v>
      </c>
      <c r="C276" s="124" t="s">
        <v>921</v>
      </c>
      <c r="D276" s="124" t="s">
        <v>332</v>
      </c>
      <c r="E276" s="124">
        <v>180</v>
      </c>
      <c r="F276" s="124" t="s">
        <v>97</v>
      </c>
      <c r="G276" s="124">
        <v>0.467</v>
      </c>
      <c r="H276" s="124" t="s">
        <v>599</v>
      </c>
      <c r="I276" s="124"/>
      <c r="J276" s="124"/>
      <c r="K276" s="124"/>
    </row>
    <row r="277" spans="1:11" ht="12.75">
      <c r="A277" s="124">
        <v>277</v>
      </c>
      <c r="B277" s="124" t="s">
        <v>97</v>
      </c>
      <c r="C277" s="124" t="s">
        <v>922</v>
      </c>
      <c r="D277" s="124" t="s">
        <v>333</v>
      </c>
      <c r="E277" s="124">
        <v>180</v>
      </c>
      <c r="F277" s="124" t="s">
        <v>97</v>
      </c>
      <c r="G277" s="124">
        <v>0.4</v>
      </c>
      <c r="H277" s="124" t="s">
        <v>600</v>
      </c>
      <c r="I277" s="124"/>
      <c r="J277" s="124"/>
      <c r="K277" s="124"/>
    </row>
    <row r="278" spans="1:11" ht="12.75">
      <c r="A278" s="124">
        <v>278</v>
      </c>
      <c r="B278" s="124" t="s">
        <v>97</v>
      </c>
      <c r="C278" s="124" t="s">
        <v>923</v>
      </c>
      <c r="D278" s="124" t="s">
        <v>334</v>
      </c>
      <c r="E278" s="124" t="s">
        <v>335</v>
      </c>
      <c r="F278" s="124" t="s">
        <v>97</v>
      </c>
      <c r="G278" s="124">
        <v>0.492</v>
      </c>
      <c r="H278" s="124" t="s">
        <v>601</v>
      </c>
      <c r="I278" s="124"/>
      <c r="J278" s="124"/>
      <c r="K278" s="124"/>
    </row>
    <row r="279" spans="1:11" ht="12.75">
      <c r="A279" s="124">
        <v>279</v>
      </c>
      <c r="B279" s="124" t="s">
        <v>97</v>
      </c>
      <c r="C279" s="124" t="s">
        <v>924</v>
      </c>
      <c r="D279" s="124" t="s">
        <v>336</v>
      </c>
      <c r="E279" s="124">
        <v>180</v>
      </c>
      <c r="F279" s="124" t="s">
        <v>97</v>
      </c>
      <c r="G279" s="124">
        <v>0.236</v>
      </c>
      <c r="H279" s="124" t="s">
        <v>602</v>
      </c>
      <c r="I279" s="124"/>
      <c r="J279" s="124"/>
      <c r="K279" s="124"/>
    </row>
    <row r="280" spans="1:11" ht="12.75">
      <c r="A280" s="124">
        <v>280</v>
      </c>
      <c r="B280" s="124" t="s">
        <v>97</v>
      </c>
      <c r="C280" s="124" t="s">
        <v>925</v>
      </c>
      <c r="D280" s="124" t="s">
        <v>124</v>
      </c>
      <c r="E280" s="124">
        <v>185</v>
      </c>
      <c r="F280" s="124" t="s">
        <v>97</v>
      </c>
      <c r="G280" s="124">
        <v>0.559</v>
      </c>
      <c r="H280" s="124" t="s">
        <v>603</v>
      </c>
      <c r="I280" s="124"/>
      <c r="J280" s="124"/>
      <c r="K280" s="124"/>
    </row>
    <row r="281" spans="1:11" ht="12.75">
      <c r="A281" s="124">
        <v>281</v>
      </c>
      <c r="B281" s="124" t="s">
        <v>97</v>
      </c>
      <c r="C281" s="124" t="s">
        <v>926</v>
      </c>
      <c r="D281" s="124" t="s">
        <v>337</v>
      </c>
      <c r="E281" s="124">
        <v>185</v>
      </c>
      <c r="F281" s="124" t="s">
        <v>97</v>
      </c>
      <c r="G281" s="124">
        <v>0.319</v>
      </c>
      <c r="H281" s="124" t="s">
        <v>604</v>
      </c>
      <c r="I281" s="124"/>
      <c r="J281" s="124"/>
      <c r="K281" s="124"/>
    </row>
    <row r="282" spans="1:11" ht="12.75">
      <c r="A282" s="124">
        <v>282</v>
      </c>
      <c r="B282" s="124" t="s">
        <v>97</v>
      </c>
      <c r="C282" s="124" t="s">
        <v>927</v>
      </c>
      <c r="D282" s="124" t="s">
        <v>338</v>
      </c>
      <c r="E282" s="124">
        <v>185</v>
      </c>
      <c r="F282" s="124" t="s">
        <v>97</v>
      </c>
      <c r="G282" s="124">
        <v>0.458</v>
      </c>
      <c r="H282" s="124" t="s">
        <v>605</v>
      </c>
      <c r="I282" s="124"/>
      <c r="J282" s="124"/>
      <c r="K282" s="124"/>
    </row>
    <row r="283" spans="1:11" ht="12.75">
      <c r="A283" s="124">
        <v>283</v>
      </c>
      <c r="B283" s="124" t="s">
        <v>97</v>
      </c>
      <c r="C283" s="124" t="s">
        <v>928</v>
      </c>
      <c r="D283" s="124" t="s">
        <v>308</v>
      </c>
      <c r="E283" s="124">
        <v>185</v>
      </c>
      <c r="F283" s="124" t="s">
        <v>97</v>
      </c>
      <c r="G283" s="124">
        <v>0.547</v>
      </c>
      <c r="H283" s="124" t="s">
        <v>606</v>
      </c>
      <c r="I283" s="124"/>
      <c r="J283" s="124"/>
      <c r="K283" s="124"/>
    </row>
    <row r="284" spans="1:11" ht="12.75">
      <c r="A284" s="124">
        <v>284</v>
      </c>
      <c r="B284" s="124" t="s">
        <v>97</v>
      </c>
      <c r="C284" s="124" t="s">
        <v>929</v>
      </c>
      <c r="D284" s="124" t="s">
        <v>309</v>
      </c>
      <c r="E284" s="124">
        <v>185</v>
      </c>
      <c r="F284" s="124" t="s">
        <v>97</v>
      </c>
      <c r="G284" s="124">
        <v>0.547</v>
      </c>
      <c r="H284" s="124" t="s">
        <v>607</v>
      </c>
      <c r="I284" s="124"/>
      <c r="J284" s="124"/>
      <c r="K284" s="124"/>
    </row>
    <row r="285" spans="1:11" ht="12.75">
      <c r="A285" s="124">
        <v>285</v>
      </c>
      <c r="B285" s="124" t="s">
        <v>97</v>
      </c>
      <c r="C285" s="124" t="s">
        <v>930</v>
      </c>
      <c r="D285" s="124" t="s">
        <v>339</v>
      </c>
      <c r="E285" s="124">
        <v>185</v>
      </c>
      <c r="F285" s="124" t="s">
        <v>97</v>
      </c>
      <c r="G285" s="124">
        <v>0.19</v>
      </c>
      <c r="H285" s="124" t="s">
        <v>608</v>
      </c>
      <c r="I285" s="124"/>
      <c r="J285" s="124"/>
      <c r="K285" s="124"/>
    </row>
    <row r="286" spans="1:11" ht="12.75">
      <c r="A286" s="124">
        <v>286</v>
      </c>
      <c r="B286" s="124" t="s">
        <v>97</v>
      </c>
      <c r="C286" s="124" t="s">
        <v>931</v>
      </c>
      <c r="D286" s="124" t="s">
        <v>340</v>
      </c>
      <c r="E286" s="124">
        <v>185</v>
      </c>
      <c r="F286" s="124" t="s">
        <v>97</v>
      </c>
      <c r="G286" s="124">
        <v>0.521</v>
      </c>
      <c r="H286" s="124" t="s">
        <v>609</v>
      </c>
      <c r="I286" s="124"/>
      <c r="J286" s="124"/>
      <c r="K286" s="124"/>
    </row>
    <row r="287" spans="1:11" ht="12.75">
      <c r="A287" s="124">
        <v>287</v>
      </c>
      <c r="B287" s="124" t="s">
        <v>97</v>
      </c>
      <c r="C287" s="124" t="s">
        <v>932</v>
      </c>
      <c r="D287" s="124" t="s">
        <v>124</v>
      </c>
      <c r="E287" s="124">
        <v>190</v>
      </c>
      <c r="F287" s="124" t="s">
        <v>97</v>
      </c>
      <c r="G287" s="124">
        <v>0.573</v>
      </c>
      <c r="H287" s="124" t="s">
        <v>610</v>
      </c>
      <c r="I287" s="124"/>
      <c r="J287" s="124"/>
      <c r="K287" s="124"/>
    </row>
    <row r="288" spans="1:11" ht="12.75">
      <c r="A288" s="124">
        <v>288</v>
      </c>
      <c r="B288" s="124" t="s">
        <v>97</v>
      </c>
      <c r="C288" s="124" t="s">
        <v>933</v>
      </c>
      <c r="D288" s="124" t="s">
        <v>341</v>
      </c>
      <c r="E288" s="124">
        <v>190</v>
      </c>
      <c r="F288" s="124" t="s">
        <v>97</v>
      </c>
      <c r="G288" s="124">
        <v>0.491</v>
      </c>
      <c r="H288" s="124" t="s">
        <v>611</v>
      </c>
      <c r="I288" s="124"/>
      <c r="J288" s="124"/>
      <c r="K288" s="124"/>
    </row>
    <row r="289" spans="1:11" ht="12.75">
      <c r="A289" s="124">
        <v>289</v>
      </c>
      <c r="B289" s="124" t="s">
        <v>97</v>
      </c>
      <c r="C289" s="124" t="s">
        <v>934</v>
      </c>
      <c r="D289" s="124" t="s">
        <v>342</v>
      </c>
      <c r="E289" s="124">
        <v>190</v>
      </c>
      <c r="F289" s="124" t="s">
        <v>97</v>
      </c>
      <c r="G289" s="124">
        <v>0.524</v>
      </c>
      <c r="H289" s="124" t="s">
        <v>612</v>
      </c>
      <c r="I289" s="124"/>
      <c r="J289" s="124"/>
      <c r="K289" s="124"/>
    </row>
    <row r="290" spans="1:11" ht="12.75">
      <c r="A290" s="124">
        <v>290</v>
      </c>
      <c r="B290" s="124" t="s">
        <v>97</v>
      </c>
      <c r="C290" s="124" t="s">
        <v>935</v>
      </c>
      <c r="D290" s="124" t="s">
        <v>293</v>
      </c>
      <c r="E290" s="124">
        <v>200</v>
      </c>
      <c r="F290" s="124" t="s">
        <v>97</v>
      </c>
      <c r="G290" s="124">
        <v>0.398</v>
      </c>
      <c r="H290" s="124" t="s">
        <v>613</v>
      </c>
      <c r="I290" s="124"/>
      <c r="J290" s="124"/>
      <c r="K290" s="124"/>
    </row>
    <row r="291" spans="1:11" ht="12.75">
      <c r="A291" s="124">
        <v>291</v>
      </c>
      <c r="B291" s="124" t="s">
        <v>97</v>
      </c>
      <c r="C291" s="124" t="s">
        <v>936</v>
      </c>
      <c r="D291" s="124" t="s">
        <v>343</v>
      </c>
      <c r="E291" s="124">
        <v>200</v>
      </c>
      <c r="F291" s="124" t="s">
        <v>97</v>
      </c>
      <c r="G291" s="124">
        <v>0.344</v>
      </c>
      <c r="H291" s="124" t="s">
        <v>614</v>
      </c>
      <c r="I291" s="124"/>
      <c r="J291" s="124"/>
      <c r="K291" s="124"/>
    </row>
    <row r="292" spans="1:11" ht="12.75">
      <c r="A292" s="124">
        <v>292</v>
      </c>
      <c r="B292" s="124" t="s">
        <v>97</v>
      </c>
      <c r="C292" s="124" t="s">
        <v>937</v>
      </c>
      <c r="D292" s="124" t="s">
        <v>344</v>
      </c>
      <c r="E292" s="124">
        <v>200</v>
      </c>
      <c r="F292" s="124" t="s">
        <v>97</v>
      </c>
      <c r="G292" s="124">
        <v>0.33</v>
      </c>
      <c r="H292" s="124" t="s">
        <v>615</v>
      </c>
      <c r="I292" s="124"/>
      <c r="J292" s="124"/>
      <c r="K292" s="124"/>
    </row>
    <row r="293" spans="1:11" ht="12.75">
      <c r="A293" s="124">
        <v>293</v>
      </c>
      <c r="B293" s="124" t="s">
        <v>97</v>
      </c>
      <c r="C293" s="124" t="s">
        <v>938</v>
      </c>
      <c r="D293" s="124" t="s">
        <v>345</v>
      </c>
      <c r="E293" s="124">
        <v>200</v>
      </c>
      <c r="F293" s="124" t="s">
        <v>97</v>
      </c>
      <c r="G293" s="124">
        <v>0.34</v>
      </c>
      <c r="H293" s="124" t="s">
        <v>616</v>
      </c>
      <c r="I293" s="124"/>
      <c r="J293" s="124"/>
      <c r="K293" s="124"/>
    </row>
    <row r="294" spans="1:11" ht="12.75">
      <c r="A294" s="124">
        <v>294</v>
      </c>
      <c r="B294" s="124" t="s">
        <v>97</v>
      </c>
      <c r="C294" s="124" t="s">
        <v>939</v>
      </c>
      <c r="D294" s="124" t="s">
        <v>346</v>
      </c>
      <c r="E294" s="124">
        <v>200</v>
      </c>
      <c r="F294" s="124" t="s">
        <v>97</v>
      </c>
      <c r="G294" s="124">
        <v>0.33</v>
      </c>
      <c r="H294" s="124" t="s">
        <v>617</v>
      </c>
      <c r="I294" s="124"/>
      <c r="J294" s="124"/>
      <c r="K294" s="124"/>
    </row>
    <row r="295" spans="1:11" ht="12.75">
      <c r="A295" s="124">
        <v>295</v>
      </c>
      <c r="B295" s="124" t="s">
        <v>97</v>
      </c>
      <c r="C295" s="124" t="s">
        <v>940</v>
      </c>
      <c r="D295" s="124" t="s">
        <v>347</v>
      </c>
      <c r="E295" s="124">
        <v>200</v>
      </c>
      <c r="F295" s="124" t="s">
        <v>97</v>
      </c>
      <c r="G295" s="124">
        <v>0.555</v>
      </c>
      <c r="H295" s="124" t="s">
        <v>618</v>
      </c>
      <c r="I295" s="124"/>
      <c r="J295" s="124"/>
      <c r="K295" s="124"/>
    </row>
    <row r="296" spans="1:11" ht="12.75">
      <c r="A296" s="124">
        <v>296</v>
      </c>
      <c r="B296" s="124" t="s">
        <v>97</v>
      </c>
      <c r="C296" s="124" t="s">
        <v>941</v>
      </c>
      <c r="D296" s="124" t="s">
        <v>348</v>
      </c>
      <c r="E296" s="124">
        <v>200</v>
      </c>
      <c r="F296" s="124" t="s">
        <v>97</v>
      </c>
      <c r="G296" s="124">
        <v>0.55</v>
      </c>
      <c r="H296" s="124" t="s">
        <v>619</v>
      </c>
      <c r="I296" s="124"/>
      <c r="J296" s="124"/>
      <c r="K296" s="124"/>
    </row>
    <row r="297" spans="1:11" ht="12.75">
      <c r="A297" s="124">
        <v>297</v>
      </c>
      <c r="B297" s="124" t="s">
        <v>97</v>
      </c>
      <c r="C297" s="124" t="s">
        <v>942</v>
      </c>
      <c r="D297" s="124" t="s">
        <v>124</v>
      </c>
      <c r="E297" s="124">
        <v>210</v>
      </c>
      <c r="F297" s="124" t="s">
        <v>97</v>
      </c>
      <c r="G297" s="124">
        <v>0.629</v>
      </c>
      <c r="H297" s="124" t="s">
        <v>620</v>
      </c>
      <c r="I297" s="124"/>
      <c r="J297" s="124"/>
      <c r="K297" s="124"/>
    </row>
    <row r="298" spans="1:11" ht="12.75">
      <c r="A298" s="124">
        <v>298</v>
      </c>
      <c r="B298" s="124" t="s">
        <v>97</v>
      </c>
      <c r="C298" s="124" t="s">
        <v>943</v>
      </c>
      <c r="D298" s="124" t="s">
        <v>349</v>
      </c>
      <c r="E298" s="124">
        <v>210</v>
      </c>
      <c r="F298" s="124" t="s">
        <v>97</v>
      </c>
      <c r="G298" s="124">
        <v>0.589</v>
      </c>
      <c r="H298" s="124" t="s">
        <v>621</v>
      </c>
      <c r="I298" s="124"/>
      <c r="J298" s="124"/>
      <c r="K298" s="124"/>
    </row>
    <row r="299" spans="1:11" ht="12.75">
      <c r="A299" s="124">
        <v>299</v>
      </c>
      <c r="B299" s="124" t="s">
        <v>97</v>
      </c>
      <c r="C299" s="124" t="s">
        <v>944</v>
      </c>
      <c r="D299" s="124" t="s">
        <v>350</v>
      </c>
      <c r="E299" s="124">
        <v>220</v>
      </c>
      <c r="F299" s="124" t="s">
        <v>97</v>
      </c>
      <c r="G299" s="124">
        <v>0.3</v>
      </c>
      <c r="H299" s="124" t="s">
        <v>622</v>
      </c>
      <c r="I299" s="124"/>
      <c r="J299" s="124"/>
      <c r="K299" s="124"/>
    </row>
    <row r="300" spans="1:11" ht="12.75">
      <c r="A300" s="124">
        <v>300</v>
      </c>
      <c r="B300" s="124" t="s">
        <v>97</v>
      </c>
      <c r="C300" s="124" t="s">
        <v>945</v>
      </c>
      <c r="D300" s="124" t="s">
        <v>351</v>
      </c>
      <c r="E300" s="124">
        <v>220</v>
      </c>
      <c r="F300" s="124" t="s">
        <v>97</v>
      </c>
      <c r="G300" s="124">
        <v>0.618</v>
      </c>
      <c r="H300" s="124" t="s">
        <v>623</v>
      </c>
      <c r="I300" s="124"/>
      <c r="J300" s="124"/>
      <c r="K300" s="124"/>
    </row>
    <row r="301" spans="1:11" ht="12.75">
      <c r="A301" s="124">
        <v>301</v>
      </c>
      <c r="B301" s="124" t="s">
        <v>97</v>
      </c>
      <c r="C301" s="124" t="s">
        <v>946</v>
      </c>
      <c r="D301" s="124" t="s">
        <v>352</v>
      </c>
      <c r="E301" s="124">
        <v>220</v>
      </c>
      <c r="F301" s="124" t="s">
        <v>97</v>
      </c>
      <c r="G301" s="124">
        <v>0.335</v>
      </c>
      <c r="H301" s="124" t="s">
        <v>624</v>
      </c>
      <c r="I301" s="124"/>
      <c r="J301" s="124"/>
      <c r="K301" s="124"/>
    </row>
    <row r="302" spans="1:11" ht="12.75">
      <c r="A302" s="124">
        <v>302</v>
      </c>
      <c r="B302" s="124" t="s">
        <v>97</v>
      </c>
      <c r="C302" s="124" t="s">
        <v>947</v>
      </c>
      <c r="D302" s="124" t="s">
        <v>353</v>
      </c>
      <c r="E302" s="124">
        <v>240</v>
      </c>
      <c r="F302" s="124" t="s">
        <v>97</v>
      </c>
      <c r="G302" s="124">
        <v>0.699</v>
      </c>
      <c r="H302" s="124" t="s">
        <v>625</v>
      </c>
      <c r="I302" s="124"/>
      <c r="J302" s="124"/>
      <c r="K302" s="124"/>
    </row>
    <row r="303" spans="1:11" ht="12.75">
      <c r="A303" s="124">
        <v>303</v>
      </c>
      <c r="B303" s="124" t="s">
        <v>97</v>
      </c>
      <c r="C303" s="124" t="s">
        <v>948</v>
      </c>
      <c r="D303" s="124" t="s">
        <v>354</v>
      </c>
      <c r="E303" s="124">
        <v>240</v>
      </c>
      <c r="F303" s="124" t="s">
        <v>97</v>
      </c>
      <c r="G303" s="124">
        <v>0.699</v>
      </c>
      <c r="H303" s="124" t="s">
        <v>626</v>
      </c>
      <c r="I303" s="124"/>
      <c r="J303" s="124"/>
      <c r="K303" s="124"/>
    </row>
    <row r="304" spans="1:11" ht="12.75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1:11" ht="12.75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1:11" ht="12.75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1:11" ht="12.75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1:11" ht="12.75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1:11" ht="12.75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1:11" ht="12.75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1:11" ht="12.75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1:11" ht="12.75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1:11" ht="12.75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1:11" ht="12.75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1:11" ht="12.75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1:11" ht="12.75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1:11" ht="12.75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1:11" ht="12.75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1:11" ht="12.75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1:11" ht="12.75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1:11" ht="12.75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1:11" ht="12.75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1:11" ht="12.75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1:11" ht="12.75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1:11" ht="12.75">
      <c r="A325" s="124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1:11" ht="12.75">
      <c r="A326" s="124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1:11" ht="12.75">
      <c r="A327" s="124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1:11" ht="12.75">
      <c r="A328" s="124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1:11" ht="12.75">
      <c r="A329" s="124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1:11" ht="12.75">
      <c r="A330" s="124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1:11" ht="12.75">
      <c r="A331" s="124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1:11" ht="12.75">
      <c r="A332" s="124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1:11" ht="12.75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1:11" ht="12.75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1:11" ht="12.75">
      <c r="A335" s="124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1:11" ht="12.75">
      <c r="A336" s="124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1:11" ht="12.75">
      <c r="A337" s="124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1:11" ht="12.75">
      <c r="A338" s="124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1:11" ht="12.75">
      <c r="A339" s="124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1:11" ht="12.75">
      <c r="A340" s="124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1:11" ht="12.75">
      <c r="A341" s="124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1:11" ht="12.75">
      <c r="A342" s="124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1:11" ht="12.75">
      <c r="A343" s="124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1:11" ht="12.75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1:11" ht="12.75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1:11" ht="12.75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1:11" ht="12.75">
      <c r="A347" s="124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1:11" ht="12.75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1:11" ht="12.75">
      <c r="A349" s="124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1:11" ht="12.75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1:11" ht="12.75">
      <c r="A351" s="124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1:11" ht="12.75">
      <c r="A352" s="124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1:11" ht="12.75">
      <c r="A353" s="124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1:11" ht="12.75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1:11" ht="12.75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1:11" ht="12.75">
      <c r="A356" s="124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1:11" ht="12.75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1:11" ht="12.75">
      <c r="A358" s="124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1:11" ht="12.75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1:11" ht="12.75">
      <c r="A360" s="124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1:11" ht="12.75">
      <c r="A361" s="124"/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1:11" ht="12.75">
      <c r="A362" s="124"/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1:11" ht="12.75">
      <c r="A363" s="124"/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1:11" ht="12.75">
      <c r="A364" s="124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1:11" ht="12.75">
      <c r="A365" s="124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1:11" ht="12.75">
      <c r="A366" s="124"/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1:11" ht="12.75">
      <c r="A367" s="124"/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1:11" ht="12.75">
      <c r="A368" s="124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1:11" ht="12.75">
      <c r="A369" s="124"/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1:11" ht="12.75">
      <c r="A370" s="124"/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1:11" ht="12.75">
      <c r="A371" s="124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1:11" ht="12.75">
      <c r="A372" s="124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1:11" ht="12.75">
      <c r="A373" s="124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1:11" ht="12.75">
      <c r="A374" s="124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1:11" ht="12.75">
      <c r="A375" s="124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1:11" ht="12.75">
      <c r="A376" s="124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1:11" ht="12.75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1:11" ht="12.75">
      <c r="A378" s="124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1:11" ht="12.75">
      <c r="A379" s="124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1:11" ht="12.75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1:11" ht="12.75">
      <c r="A381" s="124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1:11" ht="12.75">
      <c r="A382" s="124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1:11" ht="12.75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1:11" ht="12.75">
      <c r="A384" s="124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1:11" ht="12.75">
      <c r="A385" s="124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1:11" ht="12.75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1:11" ht="12.75">
      <c r="A387" s="124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1:11" ht="12.75">
      <c r="A388" s="124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1:11" ht="12.75">
      <c r="A389" s="124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1:11" ht="12.75">
      <c r="A390" s="124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1:11" ht="12.75">
      <c r="A391" s="124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1:11" ht="12.75">
      <c r="A392" s="12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1:11" ht="12.75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1:11" ht="12.75">
      <c r="A394" s="124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1:11" ht="12.75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1:11" ht="12.75">
      <c r="A396" s="124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1:11" ht="12.75">
      <c r="A397" s="124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1:11" ht="12.75">
      <c r="A398" s="124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1:11" ht="12.75">
      <c r="A399" s="124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1:11" ht="12.75">
      <c r="A400" s="124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1:11" ht="12.75">
      <c r="A401" s="124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1:11" ht="12.75">
      <c r="A402" s="124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1:11" ht="12.75">
      <c r="A403" s="124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1:11" ht="12.75">
      <c r="A404" s="124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1:11" ht="12.75">
      <c r="A405" s="124"/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1:11" ht="12.75">
      <c r="A406" s="124"/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1:11" ht="12.75">
      <c r="A407" s="124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1:11" ht="12.75">
      <c r="A408" s="124"/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1:11" ht="12.75">
      <c r="A409" s="124"/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1:11" ht="12.75">
      <c r="A410" s="124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1:11" ht="12.75">
      <c r="A411" s="124"/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1:11" ht="12.75">
      <c r="A412" s="124"/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1:11" ht="12.75">
      <c r="A413" s="124"/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1:11" ht="12.75">
      <c r="A414" s="124"/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1:11" ht="12.75">
      <c r="A415" s="124"/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1:11" ht="12.75">
      <c r="A416" s="124"/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1:11" ht="12.75">
      <c r="A417" s="124"/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1:11" ht="12.75">
      <c r="A418" s="124"/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1:11" ht="12.75">
      <c r="A419" s="124"/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1:11" ht="12.75">
      <c r="A420" s="124"/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1:11" ht="12.75">
      <c r="A421" s="124"/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1:11" ht="12.75">
      <c r="A422" s="124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1:11" ht="12.75">
      <c r="A423" s="124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1:11" ht="12.75">
      <c r="A424" s="124"/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1:11" ht="12.75">
      <c r="A425" s="124"/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1:11" ht="12.75">
      <c r="A426" s="124"/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1:11" ht="12.75">
      <c r="A427" s="124"/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1:11" ht="12.75">
      <c r="A428" s="124"/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1:11" ht="12.75">
      <c r="A429" s="124"/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1:11" ht="12.75">
      <c r="A430" s="124"/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1:11" ht="12.75">
      <c r="A431" s="124"/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1:11" ht="12.75">
      <c r="A432" s="124"/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1:11" ht="12.75">
      <c r="A433" s="124"/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1:11" ht="12.75">
      <c r="A434" s="124"/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1:11" ht="12.75">
      <c r="A435" s="124"/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1:11" ht="12.75">
      <c r="A436" s="124"/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1:11" ht="12.75">
      <c r="A437" s="124"/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1:11" ht="12.75">
      <c r="A438" s="124"/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1:11" ht="12.75">
      <c r="A439" s="124"/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1:11" ht="12.75">
      <c r="A440" s="124"/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1:11" ht="12.75">
      <c r="A441" s="124"/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1:11" ht="12.75">
      <c r="A442" s="124"/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1:11" ht="12.75">
      <c r="A443" s="124"/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1:11" ht="12.75">
      <c r="A444" s="124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1:11" ht="12.75">
      <c r="A445" s="124"/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1:11" ht="12.75">
      <c r="A446" s="124"/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1:11" ht="12.75">
      <c r="A447" s="124"/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1:11" ht="12.75">
      <c r="A448" s="124"/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1:11" ht="12.75">
      <c r="A449" s="124"/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1:11" ht="12.75">
      <c r="A450" s="124"/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1:11" ht="12.75">
      <c r="A451" s="124"/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1:11" ht="12.75">
      <c r="A452" s="124"/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1:11" ht="12.75">
      <c r="A453" s="124"/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1:11" ht="12.75">
      <c r="A454" s="124"/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1:11" ht="12.75">
      <c r="A455" s="124"/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1:11" ht="12.75">
      <c r="A456" s="124"/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1:11" ht="12.75">
      <c r="A457" s="124"/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1:11" ht="12.75">
      <c r="A458" s="124"/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1:11" ht="12.75">
      <c r="A459" s="124"/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1:11" ht="12.75">
      <c r="A460" s="124"/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</row>
    <row r="461" spans="1:11" ht="12.75">
      <c r="A461" s="124"/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</row>
    <row r="462" spans="1:11" ht="12.75">
      <c r="A462" s="124"/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</row>
    <row r="463" spans="1:11" ht="12.75">
      <c r="A463" s="124"/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</row>
    <row r="464" spans="1:11" ht="12.75">
      <c r="A464" s="124"/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</row>
    <row r="465" spans="1:11" ht="12.75">
      <c r="A465" s="124"/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</row>
    <row r="466" spans="1:11" ht="12.75">
      <c r="A466" s="124"/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</row>
    <row r="467" spans="1:11" ht="12.75">
      <c r="A467" s="124"/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</row>
    <row r="468" spans="1:11" ht="12.75">
      <c r="A468" s="124"/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</row>
    <row r="469" spans="1:11" ht="12.75">
      <c r="A469" s="124"/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S46"/>
  <sheetViews>
    <sheetView zoomScale="90" zoomScaleNormal="90" zoomScalePageLayoutView="0" workbookViewId="0" topLeftCell="A1">
      <selection activeCell="Q7" sqref="Q7"/>
    </sheetView>
  </sheetViews>
  <sheetFormatPr defaultColWidth="9.00390625" defaultRowHeight="12.75"/>
  <cols>
    <col min="1" max="1" width="5.00390625" style="1" customWidth="1"/>
    <col min="2" max="2" width="5.625" style="1" customWidth="1"/>
    <col min="3" max="3" width="5.875" style="1" customWidth="1"/>
    <col min="4" max="4" width="6.125" style="1" customWidth="1"/>
    <col min="5" max="5" width="5.75390625" style="1" customWidth="1"/>
    <col min="6" max="6" width="6.25390625" style="1" customWidth="1"/>
    <col min="7" max="7" width="5.125" style="1" customWidth="1"/>
    <col min="8" max="8" width="6.375" style="1" customWidth="1"/>
    <col min="9" max="9" width="5.50390625" style="1" customWidth="1"/>
    <col min="10" max="10" width="6.00390625" style="1" customWidth="1"/>
    <col min="11" max="11" width="4.875" style="1" customWidth="1"/>
    <col min="12" max="12" width="6.125" style="1" customWidth="1"/>
    <col min="13" max="13" width="5.125" style="1" customWidth="1"/>
    <col min="14" max="14" width="5.25390625" style="1" customWidth="1"/>
    <col min="15" max="15" width="4.625" style="1" customWidth="1"/>
    <col min="16" max="16" width="4.625" style="0" customWidth="1"/>
  </cols>
  <sheetData>
    <row r="1" spans="1:16" ht="13.5" thickBot="1">
      <c r="A1" s="31" t="s">
        <v>26</v>
      </c>
      <c r="B1" s="32" t="s">
        <v>38</v>
      </c>
      <c r="C1" s="33" t="s">
        <v>25</v>
      </c>
      <c r="D1" s="92" t="s">
        <v>27</v>
      </c>
      <c r="E1" s="29" t="s">
        <v>24</v>
      </c>
      <c r="F1" s="32" t="s">
        <v>24</v>
      </c>
      <c r="G1" s="27" t="s">
        <v>24</v>
      </c>
      <c r="H1" s="33" t="s">
        <v>60</v>
      </c>
      <c r="I1" s="92" t="s">
        <v>41</v>
      </c>
      <c r="J1" s="99">
        <f>SUM('Ballistics Table'!S15)</f>
        <v>11.184681460272012</v>
      </c>
      <c r="K1" s="98" t="s">
        <v>30</v>
      </c>
      <c r="L1" s="28" t="s">
        <v>57</v>
      </c>
      <c r="M1" s="26" t="s">
        <v>32</v>
      </c>
      <c r="N1" s="101" t="s">
        <v>62</v>
      </c>
      <c r="O1" s="103">
        <f>'Ballistics Table'!S19</f>
        <v>0</v>
      </c>
      <c r="P1" s="104" t="s">
        <v>61</v>
      </c>
    </row>
    <row r="2" spans="1:15" ht="13.5" thickBot="1">
      <c r="A2" s="34" t="s">
        <v>21</v>
      </c>
      <c r="B2" s="35" t="s">
        <v>22</v>
      </c>
      <c r="C2" s="36" t="s">
        <v>23</v>
      </c>
      <c r="D2" s="93" t="s">
        <v>24</v>
      </c>
      <c r="E2" s="38" t="s">
        <v>34</v>
      </c>
      <c r="F2" s="35" t="s">
        <v>28</v>
      </c>
      <c r="G2" s="37" t="s">
        <v>33</v>
      </c>
      <c r="H2" s="36" t="s">
        <v>28</v>
      </c>
      <c r="I2" s="38" t="s">
        <v>31</v>
      </c>
      <c r="J2" s="37" t="s">
        <v>28</v>
      </c>
      <c r="K2" s="39" t="s">
        <v>33</v>
      </c>
      <c r="L2" s="40" t="str">
        <f>CONCATENATE('Ballistics Table'!S17," Deg")</f>
        <v> Deg</v>
      </c>
      <c r="M2" s="30" t="s">
        <v>39</v>
      </c>
      <c r="N2" s="38" t="s">
        <v>33</v>
      </c>
      <c r="O2" s="39" t="s">
        <v>34</v>
      </c>
    </row>
    <row r="3" spans="1:19" ht="13.5" thickBot="1">
      <c r="A3" s="41">
        <f>'Ballistics Table'!S7</f>
        <v>0</v>
      </c>
      <c r="B3" s="42">
        <f>TRUNC(Calculations!S9+(-Calculations!M9-SQRT(Calculations!M9^2-4*Calculations!N9*(Calculations!L9-Calculations!J9)))/(2*Calculations!N9))</f>
        <v>2788</v>
      </c>
      <c r="C3" s="84">
        <f>TRUNC(B3^2*'Ballistics Table'!$S$5/450400.1)</f>
        <v>2882</v>
      </c>
      <c r="D3" s="88">
        <f>-12*Calculations!U9*Calculations!T9^2</f>
        <v>-4.184152256229267E-05</v>
      </c>
      <c r="E3" s="96">
        <f>D3-'Ballistics Table'!$S$11+(A3/100*Calculations!$B$6)</f>
        <v>-1.9685457785304363</v>
      </c>
      <c r="F3" s="94">
        <f>IF(A3&gt;0,SUM(('Ballistics Table'!E3/'Ballistics Table'!$S$13)/(A3/100)),0)</f>
        <v>0</v>
      </c>
      <c r="G3" s="77">
        <f>IF(A3&gt;0,ABS(SUM(F3/'Ballistics Table'!$S$12)),0)</f>
        <v>0</v>
      </c>
      <c r="H3" s="44">
        <f>IF(A3&gt;0,SUM((F3/(A3/100))),0)</f>
        <v>0</v>
      </c>
      <c r="I3" s="43">
        <f>ABS(($J$1*35.2)*(Calculations!T9-(3*A3)/'Ballistics Table'!$S$4))/2</f>
        <v>0.09167959906930359</v>
      </c>
      <c r="J3" s="82" t="e">
        <f>IF(I3&gt;0,SUM((I3/'Ballistics Table'!$S$13)/(A3/100)),0)</f>
        <v>#DIV/0!</v>
      </c>
      <c r="K3" s="79" t="e">
        <f>SUM(J3/'Ballistics Table'!$S$12)</f>
        <v>#DIV/0!</v>
      </c>
      <c r="L3" s="45">
        <f>ABS(D3)-(ABS(D3)*COS('Ballistics Table'!$S$17*PI()/180))</f>
        <v>0</v>
      </c>
      <c r="M3" s="46">
        <f>SUM(A3-0)*3/'Ballistics Table'!B3</f>
        <v>0</v>
      </c>
      <c r="N3" s="80">
        <f>IF(A3&gt;0,(((M3*('Ballistics Table'!$S$18*(1.466*12)))-'Ballistics Table'!$S$19)/((A3/100)*'Ballistics Table'!$S$12)),0)</f>
        <v>0</v>
      </c>
      <c r="O3" s="47">
        <f>(M3*('Ballistics Table'!$S$18*(1.466*12)))-'Ballistics Table'!$S$19</f>
        <v>0</v>
      </c>
      <c r="R3" s="21" t="s">
        <v>11</v>
      </c>
      <c r="S3" s="3"/>
    </row>
    <row r="4" spans="1:19" ht="12.75">
      <c r="A4" s="48">
        <f>A3+'Ballistics Table'!$S$8</f>
        <v>54.7</v>
      </c>
      <c r="B4" s="49">
        <f>TRUNC(Calculations!S10+(-Calculations!M10-SQRT(Calculations!M10^2-4*Calculations!N10*(Calculations!L10-Calculations!J10)))/(2*Calculations!N10))</f>
        <v>2682</v>
      </c>
      <c r="C4" s="85">
        <f>TRUNC(B4^2*'Ballistics Table'!$S$5/450400.1)</f>
        <v>2667</v>
      </c>
      <c r="D4" s="89">
        <f>-12*Calculations!U10*Calculations!T10^2</f>
        <v>-0.6954588329220773</v>
      </c>
      <c r="E4" s="97">
        <f>D4-'Ballistics Table'!$S$11+(A4/100*Calculations!$B$6)</f>
        <v>-0.26018955487685336</v>
      </c>
      <c r="F4" s="95">
        <f>IF(A4&gt;0,SUM(('Ballistics Table'!E4/'Ballistics Table'!$S$13)/(A4/100)),0)</f>
        <v>-0.45431371757184424</v>
      </c>
      <c r="G4" s="78">
        <f>IF(A4&gt;0,ABS(SUM(F4/'Ballistics Table'!$S$12)),0)</f>
        <v>0.13206794115460588</v>
      </c>
      <c r="H4" s="51">
        <f aca="true" t="shared" si="0" ref="H4:H43">ABS(F4-F3)</f>
        <v>0.45431371757184424</v>
      </c>
      <c r="I4" s="50">
        <f>ABS(($J$1*35.2)*(Calculations!T10-(3*A4)/'Ballistics Table'!$S$4))/2</f>
        <v>0.31158426326335914</v>
      </c>
      <c r="J4" s="83">
        <f>IF(I4&gt;0,SUM((I4/'Ballistics Table'!$S$13)/(A4/100)),0)</f>
        <v>0.5440533731150708</v>
      </c>
      <c r="K4" s="62">
        <f>SUM(J4/'Ballistics Table'!$S$12)</f>
        <v>0.1581550503241485</v>
      </c>
      <c r="L4" s="52">
        <f>ABS(D4)-(ABS(D4)*COS('Ballistics Table'!$S$17*PI()/180))</f>
        <v>0</v>
      </c>
      <c r="M4" s="53">
        <f>SUM(((A4-A3)*3)/'Ballistics Table'!B4)+M3</f>
        <v>0.06118568232662193</v>
      </c>
      <c r="N4" s="81">
        <f>IF(A4&gt;0,(((M4*('Ballistics Table'!$S$18*(1.466*12)))-'Ballistics Table'!$S$19)/((A4/100)*'Ballistics Table'!$S$12)),0)</f>
        <v>0</v>
      </c>
      <c r="O4" s="54">
        <f>(M4*('Ballistics Table'!$S$18*(1.466*12)))-'Ballistics Table'!$S$19</f>
        <v>0</v>
      </c>
      <c r="R4" s="22" t="s">
        <v>13</v>
      </c>
      <c r="S4" s="76">
        <f>Données!C15*3.281</f>
        <v>2788.85</v>
      </c>
    </row>
    <row r="5" spans="1:19" ht="12.75">
      <c r="A5" s="55">
        <f>A4+'Ballistics Table'!$S$8</f>
        <v>109.4</v>
      </c>
      <c r="B5" s="56">
        <f>TRUNC(Calculations!S11+(-Calculations!M11-SQRT(Calculations!M11^2-4*Calculations!N11*(Calculations!L11-Calculations!J11)))/(2*Calculations!N11))</f>
        <v>2578</v>
      </c>
      <c r="C5" s="86">
        <f>TRUNC(B5^2*'Ballistics Table'!$S$5/450400.1)</f>
        <v>2464</v>
      </c>
      <c r="D5" s="90">
        <f>-12*Calculations!U11*Calculations!T11^2</f>
        <v>-2.839042493098322</v>
      </c>
      <c r="E5" s="43">
        <f>D5-'Ballistics Table'!$S$11+((A5/100)*Calculations!$B$6)</f>
        <v>0</v>
      </c>
      <c r="F5" s="94">
        <f>IF(A5&gt;0,SUM(('Ballistics Table'!E5/'Ballistics Table'!$S$13)/(A5/100)),0)</f>
        <v>0</v>
      </c>
      <c r="G5" s="77">
        <f>IF(A5&gt;0,ABS(SUM(F5/'Ballistics Table'!$S$12)),0)</f>
        <v>0</v>
      </c>
      <c r="H5" s="58">
        <f t="shared" si="0"/>
        <v>0.45431371757184424</v>
      </c>
      <c r="I5" s="57">
        <f>ABS(($J$1*35.2)*(Calculations!T11-(3*A5)/'Ballistics Table'!$S$4))/2</f>
        <v>1.0220358290285136</v>
      </c>
      <c r="J5" s="82">
        <f>IF(I5&gt;0,SUM((I5/'Ballistics Table'!$S$13)/(A5/100)),0)</f>
        <v>0.8922819695766205</v>
      </c>
      <c r="K5" s="63">
        <f>SUM(J5/'Ballistics Table'!$S$12)</f>
        <v>0.25938429348157577</v>
      </c>
      <c r="L5" s="59">
        <f>ABS(D5)-(ABS(D5)*COS('Ballistics Table'!$S$17*PI()/180))</f>
        <v>0</v>
      </c>
      <c r="M5" s="60">
        <f>SUM(((A5-A4)*3)/'Ballistics Table'!B5)+M4</f>
        <v>0.1248396776718508</v>
      </c>
      <c r="N5" s="80">
        <f>IF(A5&gt;0,(((M5*('Ballistics Table'!$S$18*(1.466*12)))-'Ballistics Table'!$S$19)/((A5/100)*'Ballistics Table'!$S$12)),0)</f>
        <v>0</v>
      </c>
      <c r="O5" s="61">
        <f>(M5*('Ballistics Table'!$S$18*(1.466*12)))-'Ballistics Table'!$S$19</f>
        <v>0</v>
      </c>
      <c r="Q5" s="74"/>
      <c r="R5" s="22" t="s">
        <v>14</v>
      </c>
      <c r="S5" s="5">
        <f>Données!C16</f>
        <v>167</v>
      </c>
    </row>
    <row r="6" spans="1:19" ht="12.75">
      <c r="A6" s="48">
        <f>A5+'Ballistics Table'!$S$8</f>
        <v>164.10000000000002</v>
      </c>
      <c r="B6" s="49">
        <f>TRUNC(Calculations!S12+(-Calculations!M12-SQRT(Calculations!M12^2-4*Calculations!N12*(Calculations!L12-Calculations!J12)))/(2*Calculations!N12))</f>
        <v>2476</v>
      </c>
      <c r="C6" s="85">
        <f>TRUNC(B6^2*'Ballistics Table'!$S$5/450400.1)</f>
        <v>2273</v>
      </c>
      <c r="D6" s="89">
        <f>-12*Calculations!U12*Calculations!T12^2</f>
        <v>-6.5320061352570065</v>
      </c>
      <c r="E6" s="97">
        <f>D6-'Ballistics Table'!$S$11+((A6/100)*Calculations!$B$6)</f>
        <v>-1.2891904271055852</v>
      </c>
      <c r="F6" s="95">
        <f>IF(A6&gt;0,SUM(('Ballistics Table'!E6/'Ballistics Table'!$S$13)/(A6/100)),0)</f>
        <v>-0.7503464104257631</v>
      </c>
      <c r="G6" s="78">
        <f>IF(A6&gt;0,ABS(SUM(F6/'Ballistics Table'!$S$12)),0)</f>
        <v>0.21812395651911717</v>
      </c>
      <c r="H6" s="51">
        <f t="shared" si="0"/>
        <v>0.7503464104257631</v>
      </c>
      <c r="I6" s="50">
        <f>ABS(($J$1*35.2)*(Calculations!T12-(3*A6)/'Ballistics Table'!$S$4))/2</f>
        <v>2.1822775798034932</v>
      </c>
      <c r="J6" s="83">
        <f>IF(I6&gt;0,SUM((I6/'Ballistics Table'!$S$13)/(A6/100)),0)</f>
        <v>1.2701491681368682</v>
      </c>
      <c r="K6" s="62">
        <f>SUM(J6/'Ballistics Table'!$S$12)</f>
        <v>0.36922940934211285</v>
      </c>
      <c r="L6" s="52">
        <f>ABS(D6)-(ABS(D6)*COS('Ballistics Table'!$S$17*PI()/180))</f>
        <v>0</v>
      </c>
      <c r="M6" s="53">
        <f>SUM(((A6-A5)*3)/'Ballistics Table'!B6)+M5</f>
        <v>0.19111592969123692</v>
      </c>
      <c r="N6" s="81">
        <f>IF(A6&gt;0,(((M6*('Ballistics Table'!$S$18*(1.466*12)))-'Ballistics Table'!$S$19)/((A6/100)*'Ballistics Table'!$S$12)),0)</f>
        <v>0</v>
      </c>
      <c r="O6" s="54">
        <f>(M6*('Ballistics Table'!$S$18*(1.466*12)))-'Ballistics Table'!$S$19</f>
        <v>0</v>
      </c>
      <c r="Q6" s="75"/>
      <c r="R6" s="22" t="s">
        <v>12</v>
      </c>
      <c r="S6" s="2">
        <f>Données!C17</f>
        <v>0.47</v>
      </c>
    </row>
    <row r="7" spans="1:19" ht="12.75">
      <c r="A7" s="55">
        <f>A6+'Ballistics Table'!$S$8</f>
        <v>218.8</v>
      </c>
      <c r="B7" s="56">
        <f>TRUNC(Calculations!S13+(-Calculations!M13-SQRT(Calculations!M13^2-4*Calculations!N13*(Calculations!L13-Calculations!J13)))/(2*Calculations!N13))</f>
        <v>2377</v>
      </c>
      <c r="C7" s="86">
        <f>TRUNC(B7^2*'Ballistics Table'!$S$5/450400.1)</f>
        <v>2094</v>
      </c>
      <c r="D7" s="90">
        <f>-12*Calculations!U13*Calculations!T13^2</f>
        <v>-11.900100722517076</v>
      </c>
      <c r="E7" s="43">
        <f>D7-'Ballistics Table'!$S$11+((A7/100)*Calculations!$B$6)</f>
        <v>-4.253511799312557</v>
      </c>
      <c r="F7" s="94">
        <f>IF(A7&gt;0,SUM(('Ballistics Table'!E7/'Ballistics Table'!$S$13)/(A7/100)),0)</f>
        <v>-1.8567508976253897</v>
      </c>
      <c r="G7" s="77">
        <f>IF(A7&gt;0,ABS(SUM(F7/'Ballistics Table'!$S$12)),0)</f>
        <v>0.5397531679143575</v>
      </c>
      <c r="H7" s="58">
        <f t="shared" si="0"/>
        <v>1.1064044871996266</v>
      </c>
      <c r="I7" s="57">
        <f>ABS(($J$1*35.2)*(Calculations!T13-(3*A7)/'Ballistics Table'!$S$4))/2</f>
        <v>3.847434223203762</v>
      </c>
      <c r="J7" s="82">
        <f>IF(I7&gt;0,SUM((I7/'Ballistics Table'!$S$13)/(A7/100)),0)</f>
        <v>1.6794891573223756</v>
      </c>
      <c r="K7" s="63">
        <f>SUM(J7/'Ballistics Table'!$S$12)</f>
        <v>0.4882235922448766</v>
      </c>
      <c r="L7" s="59">
        <f>ABS(D7)-(ABS(D7)*COS('Ballistics Table'!$S$17*PI()/180))</f>
        <v>0</v>
      </c>
      <c r="M7" s="60">
        <f>SUM(((A7-A6)*3)/'Ballistics Table'!B7)+M6</f>
        <v>0.26015253044849396</v>
      </c>
      <c r="N7" s="80">
        <f>IF(A7&gt;0,(((M7*('Ballistics Table'!$S$18*(1.466*12)))-'Ballistics Table'!$S$19)/((A7/100)*'Ballistics Table'!$S$12)),0)</f>
        <v>0</v>
      </c>
      <c r="O7" s="61">
        <f>(M7*('Ballistics Table'!$S$18*(1.466*12)))-'Ballistics Table'!$S$19</f>
        <v>0</v>
      </c>
      <c r="Q7" s="75"/>
      <c r="R7" s="22" t="s">
        <v>15</v>
      </c>
      <c r="S7" s="5">
        <v>0</v>
      </c>
    </row>
    <row r="8" spans="1:19" ht="12.75">
      <c r="A8" s="48">
        <f>A7+'Ballistics Table'!$S$8</f>
        <v>273.5</v>
      </c>
      <c r="B8" s="49">
        <f>TRUNC(Calculations!S14+(-Calculations!M14-SQRT(Calculations!M14^2-4*Calculations!N14*(Calculations!L14-Calculations!J14)))/(2*Calculations!N14))</f>
        <v>2280</v>
      </c>
      <c r="C8" s="85">
        <f>TRUNC(B8^2*'Ballistics Table'!$S$5/450400.1)</f>
        <v>1927</v>
      </c>
      <c r="D8" s="89">
        <f>-12*Calculations!U14*Calculations!T14^2</f>
        <v>-19.155411270148512</v>
      </c>
      <c r="E8" s="97">
        <f>D8-'Ballistics Table'!$S$11+((A8/100)*Calculations!$B$6)</f>
        <v>-9.105049131890896</v>
      </c>
      <c r="F8" s="95">
        <f>IF(A8&gt;0,SUM(('Ballistics Table'!E8/'Ballistics Table'!$S$13)/(A8/100)),0)</f>
        <v>-3.17964241242617</v>
      </c>
      <c r="G8" s="78">
        <f>IF(A8&gt;0,ABS(SUM(F8/'Ballistics Table'!$S$12)),0)</f>
        <v>0.9243146547750494</v>
      </c>
      <c r="H8" s="62">
        <f t="shared" si="0"/>
        <v>1.3228915148007803</v>
      </c>
      <c r="I8" s="50">
        <f>ABS(($J$1*35.2)*(Calculations!T14-(3*A8)/'Ballistics Table'!$S$4))/2</f>
        <v>6.179879087732279</v>
      </c>
      <c r="J8" s="83">
        <f>IF(I8&gt;0,SUM((I8/'Ballistics Table'!$S$13)/(A8/100)),0)</f>
        <v>2.1581218691280495</v>
      </c>
      <c r="K8" s="62">
        <f>SUM(J8/'Ballistics Table'!$S$12)</f>
        <v>0.6273610084674562</v>
      </c>
      <c r="L8" s="52">
        <f>ABS(D8)-(ABS(D8)*COS('Ballistics Table'!$S$17*PI()/180))</f>
        <v>0</v>
      </c>
      <c r="M8" s="53">
        <f>SUM(((A8-A7)*3)/'Ballistics Table'!B8)+M7</f>
        <v>0.33212621465902026</v>
      </c>
      <c r="N8" s="81">
        <f>IF(A8&gt;0,(((M8*('Ballistics Table'!$S$18*(1.466*12)))-'Ballistics Table'!$S$19)/((A8/100)*'Ballistics Table'!$S$12)),0)</f>
        <v>0</v>
      </c>
      <c r="O8" s="54">
        <f>(M8*('Ballistics Table'!$S$18*(1.466*12)))-'Ballistics Table'!$S$19</f>
        <v>0</v>
      </c>
      <c r="Q8" s="75"/>
      <c r="R8" s="22" t="s">
        <v>16</v>
      </c>
      <c r="S8" s="5">
        <f>Données!C9*1.094</f>
        <v>54.7</v>
      </c>
    </row>
    <row r="9" spans="1:19" ht="12.75">
      <c r="A9" s="55">
        <f>A8+'Ballistics Table'!$S$8</f>
        <v>328.2</v>
      </c>
      <c r="B9" s="56">
        <f>TRUNC(Calculations!S15+(-Calculations!M15-SQRT(Calculations!M15^2-4*Calculations!N15*(Calculations!L15-Calculations!J15)))/(2*Calculations!N15))</f>
        <v>2185</v>
      </c>
      <c r="C9" s="86">
        <f>TRUNC(B9^2*'Ballistics Table'!$S$5/450400.1)</f>
        <v>1770</v>
      </c>
      <c r="D9" s="90">
        <f>-12*Calculations!U15*Calculations!T15^2</f>
        <v>-28.475054414698636</v>
      </c>
      <c r="E9" s="43">
        <f>D9-'Ballistics Table'!$S$11+((A9/100)*Calculations!$B$6)</f>
        <v>-16.02091906138792</v>
      </c>
      <c r="F9" s="94">
        <f>IF(A9&gt;0,SUM(('Ballistics Table'!E9/'Ballistics Table'!$S$13)/(A9/100)),0)</f>
        <v>-4.662320963871682</v>
      </c>
      <c r="G9" s="77">
        <f>IF(A9&gt;0,ABS(SUM(F9/'Ballistics Table'!$S$12)),0)</f>
        <v>1.3553258615906054</v>
      </c>
      <c r="H9" s="63">
        <f t="shared" si="0"/>
        <v>1.4826785514455123</v>
      </c>
      <c r="I9" s="57">
        <f>ABS(($J$1*35.2)*(Calculations!T15-(3*A9)/'Ballistics Table'!$S$4))/2</f>
        <v>9.185189593920546</v>
      </c>
      <c r="J9" s="82">
        <f>IF(I9&gt;0,SUM((I9/'Ballistics Table'!$S$13)/(A9/100)),0)</f>
        <v>2.673024052913593</v>
      </c>
      <c r="K9" s="63">
        <f>SUM(J9/'Ballistics Table'!$S$12)</f>
        <v>0.7770418758469747</v>
      </c>
      <c r="L9" s="59">
        <f>ABS(D9)-(ABS(D9)*COS('Ballistics Table'!$S$17*PI()/180))</f>
        <v>0</v>
      </c>
      <c r="M9" s="60">
        <f>SUM(((A9-A8)*3)/'Ballistics Table'!B9)+M8</f>
        <v>0.4072291894873955</v>
      </c>
      <c r="N9" s="80">
        <f>IF(A9&gt;0,(((M9*('Ballistics Table'!$S$18*(1.466*12)))-'Ballistics Table'!$S$19)/((A9/100)*'Ballistics Table'!$S$12)),0)</f>
        <v>0</v>
      </c>
      <c r="O9" s="61">
        <f>(M9*('Ballistics Table'!$S$18*(1.466*12)))-'Ballistics Table'!$S$19</f>
        <v>0</v>
      </c>
      <c r="R9" s="22" t="s">
        <v>17</v>
      </c>
      <c r="S9" s="5">
        <f>Données!C21</f>
        <v>12</v>
      </c>
    </row>
    <row r="10" spans="1:19" ht="12.75">
      <c r="A10" s="48">
        <f>A9+'Ballistics Table'!$S$8</f>
        <v>382.9</v>
      </c>
      <c r="B10" s="49">
        <f>TRUNC(Calculations!S16+(-Calculations!M16-SQRT(Calculations!M16^2-4*Calculations!N16*(Calculations!L16-Calculations!J16)))/(2*Calculations!N16))</f>
        <v>2092</v>
      </c>
      <c r="C10" s="85">
        <f>TRUNC(B10^2*'Ballistics Table'!$S$5/450400.1)</f>
        <v>1622</v>
      </c>
      <c r="D10" s="89">
        <f>-12*Calculations!U16*Calculations!T16^2</f>
        <v>-39.981501234296076</v>
      </c>
      <c r="E10" s="97">
        <f>D10-'Ballistics Table'!$S$11+((A10/100)*Calculations!$B$6)</f>
        <v>-25.123592665932264</v>
      </c>
      <c r="F10" s="95">
        <f>IF(A10&gt;0,SUM(('Ballistics Table'!E10/'Ballistics Table'!$S$13)/(A10/100)),0)</f>
        <v>-6.266855709551889</v>
      </c>
      <c r="G10" s="78">
        <f>IF(A10&gt;0,ABS(SUM(F10/'Ballistics Table'!$S$12)),0)</f>
        <v>1.8217603806836886</v>
      </c>
      <c r="H10" s="62">
        <f t="shared" si="0"/>
        <v>1.6045347456802066</v>
      </c>
      <c r="I10" s="50">
        <f>ABS(($J$1*35.2)*(Calculations!T16-(3*A10)/'Ballistics Table'!$S$4))/2</f>
        <v>12.80337941103647</v>
      </c>
      <c r="J10" s="83">
        <f>IF(I10&gt;0,SUM((I10/'Ballistics Table'!$S$13)/(A10/100)),0)</f>
        <v>3.1936885950397826</v>
      </c>
      <c r="K10" s="62">
        <f>SUM(J10/'Ballistics Table'!$S$12)</f>
        <v>0.9283978473952856</v>
      </c>
      <c r="L10" s="52">
        <f>ABS(D10)-(ABS(D10)*COS('Ballistics Table'!$S$17*PI()/180))</f>
        <v>0</v>
      </c>
      <c r="M10" s="53">
        <f>SUM(((A10-A9)*3)/'Ballistics Table'!B10)+M9</f>
        <v>0.4856708720877779</v>
      </c>
      <c r="N10" s="81">
        <f>IF(A10&gt;0,(((M10*('Ballistics Table'!$S$18*(1.466*12)))-'Ballistics Table'!$S$19)/((A10/100)*'Ballistics Table'!$S$12)),0)</f>
        <v>0</v>
      </c>
      <c r="O10" s="54">
        <f>(M10*('Ballistics Table'!$S$18*(1.466*12)))-'Ballistics Table'!$S$19</f>
        <v>0</v>
      </c>
      <c r="R10" s="22" t="s">
        <v>18</v>
      </c>
      <c r="S10" s="5">
        <f>((9*Données!C22)/5)+32</f>
        <v>59</v>
      </c>
    </row>
    <row r="11" spans="1:19" ht="12.75">
      <c r="A11" s="55">
        <f>A10+'Ballistics Table'!$S$8</f>
        <v>437.59999999999997</v>
      </c>
      <c r="B11" s="56">
        <f>TRUNC(Calculations!S17+(-Calculations!M17-SQRT(Calculations!M17^2-4*Calculations!N17*(Calculations!L17-Calculations!J17)))/(2*Calculations!N17))</f>
        <v>2002</v>
      </c>
      <c r="C11" s="86">
        <f>TRUNC(B11^2*'Ballistics Table'!$S$5/450400.1)</f>
        <v>1486</v>
      </c>
      <c r="D11" s="90">
        <f>-12*Calculations!U17*Calculations!T17^2</f>
        <v>-53.59940207111362</v>
      </c>
      <c r="E11" s="43">
        <f>D11-'Ballistics Table'!$S$11+((A11/100)*Calculations!$B$6)</f>
        <v>-36.33772028769671</v>
      </c>
      <c r="F11" s="94">
        <f>IF(A11&gt;0,SUM(('Ballistics Table'!E11/'Ballistics Table'!$S$13)/(A11/100)),0)</f>
        <v>-7.931104690099317</v>
      </c>
      <c r="G11" s="77">
        <f>IF(A11&gt;0,ABS(SUM(F11/'Ballistics Table'!$S$12)),0)</f>
        <v>2.3055536889823594</v>
      </c>
      <c r="H11" s="63">
        <f t="shared" si="0"/>
        <v>1.6642489805474279</v>
      </c>
      <c r="I11" s="57">
        <f>ABS(($J$1*35.2)*(Calculations!T17-(3*A11)/'Ballistics Table'!$S$4))/2</f>
        <v>16.79785404265285</v>
      </c>
      <c r="J11" s="82">
        <f>IF(I11&gt;0,SUM((I11/'Ballistics Table'!$S$13)/(A11/100)),0)</f>
        <v>3.666315275875893</v>
      </c>
      <c r="K11" s="63">
        <f>SUM(J11/'Ballistics Table'!$S$12)</f>
        <v>1.065789324382527</v>
      </c>
      <c r="L11" s="59">
        <f>ABS(D11)-(ABS(D11)*COS('Ballistics Table'!$S$17*PI()/180))</f>
        <v>0</v>
      </c>
      <c r="M11" s="60">
        <f>SUM(((A11-A10)*3)/'Ballistics Table'!B11)+M10</f>
        <v>0.5676389040558099</v>
      </c>
      <c r="N11" s="80">
        <f>IF(A11&gt;0,(((M11*('Ballistics Table'!$S$18*(1.466*12)))-'Ballistics Table'!$S$19)/((A11/100)*'Ballistics Table'!$S$12)),0)</f>
        <v>0</v>
      </c>
      <c r="O11" s="61">
        <f>(M11*('Ballistics Table'!$S$18*(1.466*12)))-'Ballistics Table'!$S$19</f>
        <v>0</v>
      </c>
      <c r="R11" s="22" t="s">
        <v>19</v>
      </c>
      <c r="S11" s="6">
        <f>Données!C6/2.54</f>
        <v>1.968503937007874</v>
      </c>
    </row>
    <row r="12" spans="1:19" ht="12.75">
      <c r="A12" s="48">
        <f>A11+'Ballistics Table'!$S$8</f>
        <v>492.29999999999995</v>
      </c>
      <c r="B12" s="49">
        <f>TRUNC(Calculations!S18+(-Calculations!M18-SQRT(Calculations!M18^2-4*Calculations!N18*(Calculations!L18-Calculations!J18)))/(2*Calculations!N18))</f>
        <v>1913</v>
      </c>
      <c r="C12" s="85">
        <f>TRUNC(B12^2*'Ballistics Table'!$S$5/450400.1)</f>
        <v>1356</v>
      </c>
      <c r="D12" s="89">
        <f>-12*Calculations!U18*Calculations!T18^2</f>
        <v>-69.68836987348362</v>
      </c>
      <c r="E12" s="97">
        <f>D12-'Ballistics Table'!$S$11+((A12/100)*Calculations!$B$6)</f>
        <v>-50.022914875013626</v>
      </c>
      <c r="F12" s="95">
        <f>IF(A12&gt;0,SUM(('Ballistics Table'!E12/'Ballistics Table'!$S$13)/(A12/100)),0)</f>
        <v>-9.704931566955109</v>
      </c>
      <c r="G12" s="78">
        <f>IF(A12&gt;0,ABS(SUM(F12/'Ballistics Table'!$S$12)),0)</f>
        <v>2.821201036905555</v>
      </c>
      <c r="H12" s="62">
        <f t="shared" si="0"/>
        <v>1.773826876855792</v>
      </c>
      <c r="I12" s="50">
        <f>ABS(($J$1*35.2)*(Calculations!T18-(3*A12)/'Ballistics Table'!$S$4))/2</f>
        <v>21.457528683181938</v>
      </c>
      <c r="J12" s="83">
        <f>IF(I12&gt;0,SUM((I12/'Ballistics Table'!$S$13)/(A12/100)),0)</f>
        <v>4.162969071006187</v>
      </c>
      <c r="K12" s="62">
        <f>SUM(J12/'Ballistics Table'!$S$12)</f>
        <v>1.2101654276180775</v>
      </c>
      <c r="L12" s="52">
        <f>ABS(D12)-(ABS(D12)*COS('Ballistics Table'!$S$17*PI()/180))</f>
        <v>0</v>
      </c>
      <c r="M12" s="53">
        <f>SUM(((A12-A11)*3)/'Ballistics Table'!B12)+M11</f>
        <v>0.6534203990897879</v>
      </c>
      <c r="N12" s="81">
        <f>IF(A12&gt;0,(((M12*('Ballistics Table'!$S$18*(1.466*12)))-'Ballistics Table'!$S$19)/((A12/100)*'Ballistics Table'!$S$12)),0)</f>
        <v>0</v>
      </c>
      <c r="O12" s="54">
        <f>(M12*('Ballistics Table'!$S$18*(1.466*12)))-'Ballistics Table'!$S$19</f>
        <v>0</v>
      </c>
      <c r="R12" s="22" t="s">
        <v>35</v>
      </c>
      <c r="S12" s="2">
        <v>3.44</v>
      </c>
    </row>
    <row r="13" spans="1:19" ht="12.75">
      <c r="A13" s="55">
        <f>A12+'Ballistics Table'!$S$8</f>
        <v>547</v>
      </c>
      <c r="B13" s="56">
        <f>TRUNC(Calculations!S19+(-Calculations!M19-SQRT(Calculations!M19^2-4*Calculations!N19*(Calculations!L19-Calculations!J19)))/(2*Calculations!N19))</f>
        <v>1828</v>
      </c>
      <c r="C13" s="86">
        <f>TRUNC(B13^2*'Ballistics Table'!$S$5/450400.1)</f>
        <v>1238</v>
      </c>
      <c r="D13" s="90">
        <f>-12*Calculations!U19*Calculations!T19^2</f>
        <v>-89.08127106602987</v>
      </c>
      <c r="E13" s="43">
        <f>D13-'Ballistics Table'!$S$11+((A13/100)*Calculations!$B$6)</f>
        <v>-67.01204285250677</v>
      </c>
      <c r="F13" s="94">
        <f>IF(A13&gt;0,SUM(('Ballistics Table'!E13/'Ballistics Table'!$S$13)/(A13/100)),0)</f>
        <v>-11.700888732760752</v>
      </c>
      <c r="G13" s="77">
        <f>IF(A13&gt;0,ABS(SUM(F13/'Ballistics Table'!$S$12)),0)</f>
        <v>3.401421143244405</v>
      </c>
      <c r="H13" s="63">
        <f t="shared" si="0"/>
        <v>1.9959571658056436</v>
      </c>
      <c r="I13" s="57">
        <f>ABS(($J$1*35.2)*(Calculations!T19-(3*A13)/'Ballistics Table'!$S$4))/2</f>
        <v>27.293764953879833</v>
      </c>
      <c r="J13" s="82">
        <f>IF(I13&gt;0,SUM((I13/'Ballistics Table'!$S$13)/(A13/100)),0)</f>
        <v>4.765730057303069</v>
      </c>
      <c r="K13" s="63">
        <f>SUM(J13/'Ballistics Table'!$S$12)</f>
        <v>1.3853866445648457</v>
      </c>
      <c r="L13" s="59">
        <f>ABS(D13)-(ABS(D13)*COS('Ballistics Table'!$S$17*PI()/180))</f>
        <v>0</v>
      </c>
      <c r="M13" s="60">
        <f>SUM(((A13-A12)*3)/'Ballistics Table'!B13)+M12</f>
        <v>0.7431906397900068</v>
      </c>
      <c r="N13" s="80">
        <f>IF(A13&gt;0,(((M13*('Ballistics Table'!$S$18*(1.466*12)))-'Ballistics Table'!$S$19)/((A13/100)*'Ballistics Table'!$S$12)),0)</f>
        <v>0</v>
      </c>
      <c r="O13" s="61">
        <f>(M13*('Ballistics Table'!$S$18*(1.466*12)))-'Ballistics Table'!$S$19</f>
        <v>0</v>
      </c>
      <c r="R13" s="22" t="s">
        <v>36</v>
      </c>
      <c r="S13" s="2">
        <v>1.047</v>
      </c>
    </row>
    <row r="14" spans="1:19" ht="12.75">
      <c r="A14" s="48">
        <f>A13+'Ballistics Table'!$S$8</f>
        <v>601.7</v>
      </c>
      <c r="B14" s="49">
        <f>TRUNC(Calculations!S20+(-Calculations!M20-SQRT(Calculations!M20^2-4*Calculations!N20*(Calculations!L20-Calculations!J20)))/(2*Calculations!N20))</f>
        <v>1746</v>
      </c>
      <c r="C14" s="85">
        <f>TRUNC(B14^2*'Ballistics Table'!$S$5/450400.1)</f>
        <v>1130</v>
      </c>
      <c r="D14" s="89">
        <f>-12*Calculations!U20*Calculations!T20^2</f>
        <v>-111.59153843821771</v>
      </c>
      <c r="E14" s="97">
        <f>D14-'Ballistics Table'!$S$11+((A14/100)*Calculations!$B$6)</f>
        <v>-87.1185370096415</v>
      </c>
      <c r="F14" s="95">
        <f>IF(A14&gt;0,SUM(('Ballistics Table'!E14/'Ballistics Table'!$S$13)/(A14/100)),0)</f>
        <v>-13.828780411826076</v>
      </c>
      <c r="G14" s="78">
        <f>IF(A14&gt;0,ABS(SUM(F14/'Ballistics Table'!$S$12)),0)</f>
        <v>4.019994305763394</v>
      </c>
      <c r="H14" s="62">
        <f t="shared" si="0"/>
        <v>2.127891679065323</v>
      </c>
      <c r="I14" s="50">
        <f>ABS(($J$1*35.2)*(Calculations!T20-(3*A14)/'Ballistics Table'!$S$4))/2</f>
        <v>33.89988703475295</v>
      </c>
      <c r="J14" s="83">
        <f>IF(I14&gt;0,SUM((I14/'Ballistics Table'!$S$13)/(A14/100)),0)</f>
        <v>5.381106132870739</v>
      </c>
      <c r="K14" s="62">
        <f>SUM(J14/'Ballistics Table'!$S$12)</f>
        <v>1.5642750386252149</v>
      </c>
      <c r="L14" s="52">
        <f>ABS(D14)-(ABS(D14)*COS('Ballistics Table'!$S$17*PI()/180))</f>
        <v>0</v>
      </c>
      <c r="M14" s="53">
        <f>SUM(((A14-A13)*3)/'Ballistics Table'!B14)+M13</f>
        <v>0.8371768940855395</v>
      </c>
      <c r="N14" s="81">
        <f>IF(A14&gt;0,(((M14*('Ballistics Table'!$S$18*(1.466*12)))-'Ballistics Table'!$S$19)/((A14/100)*'Ballistics Table'!$S$12)),0)</f>
        <v>0</v>
      </c>
      <c r="O14" s="54">
        <f>(M14*('Ballistics Table'!$S$18*(1.466*12)))-'Ballistics Table'!$S$19</f>
        <v>0</v>
      </c>
      <c r="R14" s="22" t="s">
        <v>20</v>
      </c>
      <c r="S14" s="5">
        <f>Données!C8*1.094</f>
        <v>109.4</v>
      </c>
    </row>
    <row r="15" spans="1:19" ht="12.75">
      <c r="A15" s="55">
        <f>A14+'Ballistics Table'!$S$8</f>
        <v>656.4000000000001</v>
      </c>
      <c r="B15" s="56">
        <f>TRUNC(Calculations!S21+(-Calculations!M21-SQRT(Calculations!M21^2-4*Calculations!N21*(Calculations!L21-Calculations!J21)))/(2*Calculations!N21))</f>
        <v>1666</v>
      </c>
      <c r="C15" s="86">
        <f>TRUNC(B15^2*'Ballistics Table'!$S$5/450400.1)</f>
        <v>1029</v>
      </c>
      <c r="D15" s="90">
        <f>-12*Calculations!U21*Calculations!T21^2</f>
        <v>-137.89702930976446</v>
      </c>
      <c r="E15" s="43">
        <f>D15-'Ballistics Table'!$S$11+((A15/100)*Calculations!$B$6)</f>
        <v>-111.02025466613516</v>
      </c>
      <c r="F15" s="94">
        <f>IF(A15&gt;0,SUM(('Ballistics Table'!E15/'Ballistics Table'!$S$13)/(A15/100)),0)</f>
        <v>-16.154256155996496</v>
      </c>
      <c r="G15" s="77">
        <f>IF(A15&gt;0,ABS(SUM(F15/'Ballistics Table'!$S$12)),0)</f>
        <v>4.6960046965106095</v>
      </c>
      <c r="H15" s="63">
        <f t="shared" si="0"/>
        <v>2.3254757441704204</v>
      </c>
      <c r="I15" s="57">
        <f>ABS(($J$1*35.2)*(Calculations!T21-(3*A15)/'Ballistics Table'!$S$4))/2</f>
        <v>41.59022059198715</v>
      </c>
      <c r="J15" s="82">
        <f>IF(I15&gt;0,SUM((I15/'Ballistics Table'!$S$13)/(A15/100)),0)</f>
        <v>6.051680200588656</v>
      </c>
      <c r="K15" s="63">
        <f>SUM(J15/'Ballistics Table'!$S$12)</f>
        <v>1.7592093606362373</v>
      </c>
      <c r="L15" s="59">
        <f>ABS(D15)-(ABS(D15)*COS('Ballistics Table'!$S$17*PI()/180))</f>
        <v>0</v>
      </c>
      <c r="M15" s="60">
        <f>SUM(((A15-A14)*3)/'Ballistics Table'!B15)+M14</f>
        <v>0.9356762938454436</v>
      </c>
      <c r="N15" s="80">
        <f>IF(A15&gt;0,(((M15*('Ballistics Table'!$S$18*(1.466*12)))-'Ballistics Table'!$S$19)/((A15/100)*'Ballistics Table'!$S$12)),0)</f>
        <v>0</v>
      </c>
      <c r="O15" s="61">
        <f>(M15*('Ballistics Table'!$S$18*(1.466*12)))-'Ballistics Table'!$S$19</f>
        <v>0</v>
      </c>
      <c r="R15" s="22" t="s">
        <v>29</v>
      </c>
      <c r="S15" s="5">
        <f>Données!C23/0.44704</f>
        <v>11.184681460272012</v>
      </c>
    </row>
    <row r="16" spans="1:19" ht="12.75">
      <c r="A16" s="48">
        <f>A15+'Ballistics Table'!$S$8</f>
        <v>711.1000000000001</v>
      </c>
      <c r="B16" s="49">
        <f>TRUNC(Calculations!S22+(-Calculations!M22-SQRT(Calculations!M22^2-4*Calculations!N22*(Calculations!L22-Calculations!J22)))/(2*Calculations!N22))</f>
        <v>1590</v>
      </c>
      <c r="C16" s="85">
        <f>TRUNC(B16^2*'Ballistics Table'!$S$5/450400.1)</f>
        <v>937</v>
      </c>
      <c r="D16" s="89">
        <f>-12*Calculations!U22*Calculations!T22^2</f>
        <v>-167.3176190479778</v>
      </c>
      <c r="E16" s="97">
        <f>D16-'Ballistics Table'!$S$11+((A16/100)*Calculations!$B$6)</f>
        <v>-138.03707118929538</v>
      </c>
      <c r="F16" s="95">
        <f>IF(A16&gt;0,SUM(('Ballistics Table'!E16/'Ballistics Table'!$S$13)/(A16/100)),0)</f>
        <v>-18.540369097273505</v>
      </c>
      <c r="G16" s="78">
        <f>IF(A16&gt;0,ABS(SUM(F16/'Ballistics Table'!$S$12)),0)</f>
        <v>5.3896421794399725</v>
      </c>
      <c r="H16" s="62">
        <f t="shared" si="0"/>
        <v>2.386112941277009</v>
      </c>
      <c r="I16" s="50">
        <f>ABS(($J$1*35.2)*(Calculations!T22-(3*A16)/'Ballistics Table'!$S$4))/2</f>
        <v>49.71458699792602</v>
      </c>
      <c r="J16" s="83">
        <f>IF(I16&gt;0,SUM((I16/'Ballistics Table'!$S$13)/(A16/100)),0)</f>
        <v>6.677385897271499</v>
      </c>
      <c r="K16" s="62">
        <f>SUM(J16/'Ballistics Table'!$S$12)</f>
        <v>1.9411005515324125</v>
      </c>
      <c r="L16" s="52">
        <f>ABS(D16)-(ABS(D16)*COS('Ballistics Table'!$S$17*PI()/180))</f>
        <v>0</v>
      </c>
      <c r="M16" s="53">
        <f>SUM(((A16-A15)*3)/'Ballistics Table'!B16)+M15</f>
        <v>1.038883841015255</v>
      </c>
      <c r="N16" s="81">
        <f>IF(A16&gt;0,(((M16*('Ballistics Table'!$S$18*(1.466*12)))-'Ballistics Table'!$S$19)/((A16/100)*'Ballistics Table'!$S$12)),0)</f>
        <v>0</v>
      </c>
      <c r="O16" s="54">
        <f>(M16*('Ballistics Table'!$S$18*(1.466*12)))-'Ballistics Table'!$S$19</f>
        <v>0</v>
      </c>
      <c r="R16" s="20"/>
      <c r="S16" s="5"/>
    </row>
    <row r="17" spans="1:19" ht="13.5" thickBot="1">
      <c r="A17" s="55">
        <f>A16+'Ballistics Table'!$S$8</f>
        <v>765.8000000000002</v>
      </c>
      <c r="B17" s="56">
        <f>TRUNC(Calculations!S23+(-Calculations!M23-SQRT(Calculations!M23^2-4*Calculations!N23*(Calculations!L23-Calculations!J23)))/(2*Calculations!N23))</f>
        <v>1515</v>
      </c>
      <c r="C17" s="86">
        <f>TRUNC(B17^2*'Ballistics Table'!$S$5/450400.1)</f>
        <v>851</v>
      </c>
      <c r="D17" s="90">
        <f>-12*Calculations!U23*Calculations!T23^2</f>
        <v>-201.0111218082074</v>
      </c>
      <c r="E17" s="43">
        <f>D17-'Ballistics Table'!$S$11+((A17/100)*Calculations!$B$6)</f>
        <v>-169.3268007344719</v>
      </c>
      <c r="F17" s="94">
        <f>IF(A17&gt;0,SUM(('Ballistics Table'!E17/'Ballistics Table'!$S$13)/(A17/100)),0)</f>
        <v>-21.118528748515747</v>
      </c>
      <c r="G17" s="77">
        <f>IF(A17&gt;0,ABS(SUM(F17/'Ballistics Table'!$S$12)),0)</f>
        <v>6.139107194335973</v>
      </c>
      <c r="H17" s="63">
        <f t="shared" si="0"/>
        <v>2.578159651242242</v>
      </c>
      <c r="I17" s="57">
        <f>ABS(($J$1*35.2)*(Calculations!T23-(3*A17)/'Ballistics Table'!$S$4))/2</f>
        <v>58.914744840855015</v>
      </c>
      <c r="J17" s="82">
        <f>IF(I17&gt;0,SUM((I17/'Ballistics Table'!$S$13)/(A17/100)),0)</f>
        <v>7.347878346701504</v>
      </c>
      <c r="K17" s="63">
        <f>SUM(J17/'Ballistics Table'!$S$12)</f>
        <v>2.1360111472969487</v>
      </c>
      <c r="L17" s="59">
        <f>ABS(D17)-(ABS(D17)*COS('Ballistics Table'!$S$17*PI()/180))</f>
        <v>0</v>
      </c>
      <c r="M17" s="60">
        <f>SUM(((A17-A16)*3)/'Ballistics Table'!B17)+M16</f>
        <v>1.1472006726984234</v>
      </c>
      <c r="N17" s="80">
        <f>IF(A17&gt;0,(((M17*('Ballistics Table'!$S$18*(1.466*12)))-'Ballistics Table'!$S$19)/((A17/100)*'Ballistics Table'!$S$12)),0)</f>
        <v>0</v>
      </c>
      <c r="O17" s="61">
        <f>(M17*('Ballistics Table'!$S$18*(1.466*12)))-'Ballistics Table'!$S$19</f>
        <v>0</v>
      </c>
      <c r="R17" s="23"/>
      <c r="S17" s="7"/>
    </row>
    <row r="18" spans="1:19" ht="12.75">
      <c r="A18" s="48">
        <f>A17+'Ballistics Table'!$S$8</f>
        <v>820.5000000000002</v>
      </c>
      <c r="B18" s="49">
        <f>TRUNC(Calculations!S24+(-Calculations!M24-SQRT(Calculations!M24^2-4*Calculations!N24*(Calculations!L24-Calculations!J24)))/(2*Calculations!N24))</f>
        <v>1443</v>
      </c>
      <c r="C18" s="85">
        <f>TRUNC(B18^2*'Ballistics Table'!$S$5/450400.1)</f>
        <v>772</v>
      </c>
      <c r="D18" s="89">
        <f>-12*Calculations!U24*Calculations!T24^2</f>
        <v>-238.0985002272533</v>
      </c>
      <c r="E18" s="97">
        <f>D18-'Ballistics Table'!$S$11+((A18/100)*Calculations!$B$6)</f>
        <v>-204.01040593846471</v>
      </c>
      <c r="F18" s="95">
        <f>IF(A18&gt;0,SUM(('Ballistics Table'!E18/'Ballistics Table'!$S$13)/(A18/100)),0)</f>
        <v>-23.748000693600027</v>
      </c>
      <c r="G18" s="78">
        <f>IF(A18&gt;0,ABS(SUM(F18/'Ballistics Table'!$S$12)),0)</f>
        <v>6.903488573720938</v>
      </c>
      <c r="H18" s="62">
        <f t="shared" si="0"/>
        <v>2.62947194508428</v>
      </c>
      <c r="I18" s="50">
        <f>ABS(($J$1*35.2)*(Calculations!T24-(3*A18)/'Ballistics Table'!$S$4))/2</f>
        <v>68.53132011328418</v>
      </c>
      <c r="J18" s="83">
        <f>IF(I18&gt;0,SUM((I18/'Ballistics Table'!$S$13)/(A18/100)),0)</f>
        <v>7.977445219507541</v>
      </c>
      <c r="K18" s="62">
        <f>SUM(J18/'Ballistics Table'!$S$12)</f>
        <v>2.319024773112657</v>
      </c>
      <c r="L18" s="52">
        <f>ABS(D18)-(ABS(D18)*COS('Ballistics Table'!$S$17*PI()/180))</f>
        <v>0</v>
      </c>
      <c r="M18" s="53">
        <f>SUM(((A18-A17)*3)/'Ballistics Table'!B18)+M17</f>
        <v>1.2609220864198372</v>
      </c>
      <c r="N18" s="81">
        <f>IF(A18&gt;0,(((M18*('Ballistics Table'!$S$18*(1.466*12)))-'Ballistics Table'!$S$19)/((A18/100)*'Ballistics Table'!$S$12)),0)</f>
        <v>0</v>
      </c>
      <c r="O18" s="54">
        <f>(M18*('Ballistics Table'!$S$18*(1.466*12)))-'Ballistics Table'!$S$19</f>
        <v>0</v>
      </c>
      <c r="R18" s="24"/>
      <c r="S18" s="16"/>
    </row>
    <row r="19" spans="1:19" ht="13.5" thickBot="1">
      <c r="A19" s="55">
        <f>A18+'Ballistics Table'!$S$8</f>
        <v>875.2000000000003</v>
      </c>
      <c r="B19" s="56">
        <f>TRUNC(Calculations!S25+(-Calculations!M25-SQRT(Calculations!M25^2-4*Calculations!N25*(Calculations!L25-Calculations!J25)))/(2*Calculations!N25))</f>
        <v>1379</v>
      </c>
      <c r="C19" s="86">
        <f>TRUNC(B19^2*'Ballistics Table'!$S$5/450400.1)</f>
        <v>705</v>
      </c>
      <c r="D19" s="90">
        <f>-12*Calculations!U25*Calculations!T25^2</f>
        <v>-283.15973637259395</v>
      </c>
      <c r="E19" s="43">
        <f>D19-'Ballistics Table'!$S$11+((A19/100)*Calculations!$B$6)</f>
        <v>-246.66786886875224</v>
      </c>
      <c r="F19" s="94">
        <f>IF(A19&gt;0,SUM(('Ballistics Table'!E19/'Ballistics Table'!$S$13)/(A19/100)),0)</f>
        <v>-26.918979454307532</v>
      </c>
      <c r="G19" s="77">
        <f>IF(A19&gt;0,ABS(SUM(F19/'Ballistics Table'!$S$12)),0)</f>
        <v>7.825284725089399</v>
      </c>
      <c r="H19" s="63">
        <f t="shared" si="0"/>
        <v>3.1709787607075057</v>
      </c>
      <c r="I19" s="57">
        <f>ABS(($J$1*35.2)*(Calculations!T25-(3*A19)/'Ballistics Table'!$S$4))/2</f>
        <v>80.55244848157817</v>
      </c>
      <c r="J19" s="82">
        <f>IF(I19&gt;0,SUM((I19/'Ballistics Table'!$S$13)/(A19/100)),0)</f>
        <v>8.790726232866314</v>
      </c>
      <c r="K19" s="63">
        <f>SUM(J19/'Ballistics Table'!$S$12)</f>
        <v>2.555443672344859</v>
      </c>
      <c r="L19" s="59">
        <f>ABS(D19)-(ABS(D19)*COS('Ballistics Table'!$S$17*PI()/180))</f>
        <v>0</v>
      </c>
      <c r="M19" s="60">
        <f>SUM(((A19-A18)*3)/'Ballistics Table'!B19)+M18</f>
        <v>1.3799213612566756</v>
      </c>
      <c r="N19" s="80">
        <f>IF(A19&gt;0,(((M19*('Ballistics Table'!$S$18*(1.466*12)))-'Ballistics Table'!$S$19)/((A19/100)*'Ballistics Table'!$S$12)),0)</f>
        <v>0</v>
      </c>
      <c r="O19" s="61">
        <f>(M19*('Ballistics Table'!$S$18*(1.466*12)))-'Ballistics Table'!$S$19</f>
        <v>0</v>
      </c>
      <c r="R19" s="25"/>
      <c r="S19" s="17"/>
    </row>
    <row r="20" spans="1:15" ht="12.75">
      <c r="A20" s="48">
        <f>A19+'Ballistics Table'!$S$8</f>
        <v>929.9000000000003</v>
      </c>
      <c r="B20" s="49">
        <f>TRUNC(Calculations!S26+(-Calculations!M26-SQRT(Calculations!M26^2-4*Calculations!N26*(Calculations!L26-Calculations!J26)))/(2*Calculations!N26))</f>
        <v>1318</v>
      </c>
      <c r="C20" s="85">
        <f>TRUNC(B20^2*'Ballistics Table'!$S$5/450400.1)</f>
        <v>644</v>
      </c>
      <c r="D20" s="89">
        <f>-12*Calculations!U26*Calculations!T26^2</f>
        <v>-332.5094745406077</v>
      </c>
      <c r="E20" s="97">
        <f>D20-'Ballistics Table'!$S$11+((A20/100)*Calculations!$B$6)</f>
        <v>-293.6138338217129</v>
      </c>
      <c r="F20" s="95">
        <f>IF(A20&gt;0,SUM(('Ballistics Table'!E20/'Ballistics Table'!$S$13)/(A20/100)),0)</f>
        <v>-30.157378336140205</v>
      </c>
      <c r="G20" s="78">
        <f>IF(A20&gt;0,ABS(SUM(F20/'Ballistics Table'!$S$12)),0)</f>
        <v>8.766679748877968</v>
      </c>
      <c r="H20" s="62">
        <f t="shared" si="0"/>
        <v>3.2383988818326728</v>
      </c>
      <c r="I20" s="50">
        <f>ABS(($J$1*35.2)*(Calculations!T26-(3*A20)/'Ballistics Table'!$S$4))/2</f>
        <v>92.98832289514901</v>
      </c>
      <c r="J20" s="83">
        <f>IF(I20&gt;0,SUM((I20/'Ballistics Table'!$S$13)/(A20/100)),0)</f>
        <v>9.550926119152082</v>
      </c>
      <c r="K20" s="62">
        <f>SUM(J20/'Ballistics Table'!$S$12)</f>
        <v>2.776432011381419</v>
      </c>
      <c r="L20" s="52">
        <f>ABS(D20)-(ABS(D20)*COS('Ballistics Table'!$S$17*PI()/180))</f>
        <v>0</v>
      </c>
      <c r="M20" s="53">
        <f>SUM(((A20-A19)*3)/'Ballistics Table'!B20)+M19</f>
        <v>1.5044281897847487</v>
      </c>
      <c r="N20" s="81">
        <f>IF(A20&gt;0,(((M20*('Ballistics Table'!$S$18*(1.466*12)))-'Ballistics Table'!$S$19)/((A20/100)*'Ballistics Table'!$S$12)),0)</f>
        <v>0</v>
      </c>
      <c r="O20" s="54">
        <f>(M20*('Ballistics Table'!$S$18*(1.466*12)))-'Ballistics Table'!$S$19</f>
        <v>0</v>
      </c>
    </row>
    <row r="21" spans="1:15" ht="12.75">
      <c r="A21" s="55">
        <f>A20+'Ballistics Table'!$S$8</f>
        <v>984.6000000000004</v>
      </c>
      <c r="B21" s="56">
        <f>TRUNC(Calculations!S27+(-Calculations!M27-SQRT(Calculations!M27^2-4*Calculations!N27*(Calculations!L27-Calculations!J27)))/(2*Calculations!N27))</f>
        <v>1261</v>
      </c>
      <c r="C21" s="86">
        <f>TRUNC(B21^2*'Ballistics Table'!$S$5/450400.1)</f>
        <v>589</v>
      </c>
      <c r="D21" s="90">
        <f>-12*Calculations!U27*Calculations!T27^2</f>
        <v>-387.15422339902216</v>
      </c>
      <c r="E21" s="43">
        <f>D21-'Ballistics Table'!$S$11+((A21/100)*Calculations!$B$6)</f>
        <v>-345.85480946507425</v>
      </c>
      <c r="F21" s="94">
        <f>IF(A21&gt;0,SUM(('Ballistics Table'!E21/'Ballistics Table'!$S$13)/(A21/100)),0)</f>
        <v>-33.54959688322168</v>
      </c>
      <c r="G21" s="77">
        <f>IF(A21&gt;0,ABS(SUM(F21/'Ballistics Table'!$S$12)),0)</f>
        <v>9.75278979163421</v>
      </c>
      <c r="H21" s="63">
        <f t="shared" si="0"/>
        <v>3.3922185470814767</v>
      </c>
      <c r="I21" s="57">
        <f>ABS(($J$1*35.2)*(Calculations!T27-(3*A21)/'Ballistics Table'!$S$4))/2</f>
        <v>106.16874800286978</v>
      </c>
      <c r="J21" s="82">
        <f>IF(I21&gt;0,SUM((I21/'Ballistics Table'!$S$13)/(A21/100)),0)</f>
        <v>10.298884386201733</v>
      </c>
      <c r="K21" s="63">
        <f>SUM(J21/'Ballistics Table'!$S$12)</f>
        <v>2.9938617401749226</v>
      </c>
      <c r="L21" s="59">
        <f>ABS(D21)-(ABS(D21)*COS('Ballistics Table'!$S$17*PI()/180))</f>
        <v>0</v>
      </c>
      <c r="M21" s="60">
        <f>SUM(((A21-A20)*3)/'Ballistics Table'!B21)+M20</f>
        <v>1.6345630034247172</v>
      </c>
      <c r="N21" s="80">
        <f>IF(A21&gt;0,(((M21*('Ballistics Table'!$S$18*(1.466*12)))-'Ballistics Table'!$S$19)/((A21/100)*'Ballistics Table'!$S$12)),0)</f>
        <v>0</v>
      </c>
      <c r="O21" s="61">
        <f>(M21*('Ballistics Table'!$S$18*(1.466*12)))-'Ballistics Table'!$S$19</f>
        <v>0</v>
      </c>
    </row>
    <row r="22" spans="1:15" ht="12.75">
      <c r="A22" s="48">
        <f>A21+'Ballistics Table'!$S$8</f>
        <v>1039.3000000000004</v>
      </c>
      <c r="B22" s="49">
        <f>TRUNC(Calculations!S28+(-Calculations!M28-SQRT(Calculations!M28^2-4*Calculations!N28*(Calculations!L28-Calculations!J28)))/(2*Calculations!N28))</f>
        <v>1206</v>
      </c>
      <c r="C22" s="85">
        <f>TRUNC(B22^2*'Ballistics Table'!$S$5/450400.1)</f>
        <v>539</v>
      </c>
      <c r="D22" s="89">
        <f>-12*Calculations!U28*Calculations!T28^2</f>
        <v>-448.5829543328035</v>
      </c>
      <c r="E22" s="97">
        <f>D22-'Ballistics Table'!$S$11+((A22/100)*Calculations!$B$6)</f>
        <v>-404.8797671838025</v>
      </c>
      <c r="F22" s="95">
        <f>IF(A22&gt;0,SUM(('Ballistics Table'!E22/'Ballistics Table'!$S$13)/(A22/100)),0)</f>
        <v>-37.20818326711548</v>
      </c>
      <c r="G22" s="78">
        <f>IF(A22&gt;0,ABS(SUM(F22/'Ballistics Table'!$S$12)),0)</f>
        <v>10.816332345091709</v>
      </c>
      <c r="H22" s="62">
        <f t="shared" si="0"/>
        <v>3.658586383893798</v>
      </c>
      <c r="I22" s="50">
        <f>ABS(($J$1*35.2)*(Calculations!T28-(3*A22)/'Ballistics Table'!$S$4))/2</f>
        <v>120.60464563322164</v>
      </c>
      <c r="J22" s="83">
        <f>IF(I22&gt;0,SUM((I22/'Ballistics Table'!$S$13)/(A22/100)),0)</f>
        <v>11.083487299945164</v>
      </c>
      <c r="K22" s="62">
        <f>SUM(J22/'Ballistics Table'!$S$12)</f>
        <v>3.2219439825421987</v>
      </c>
      <c r="L22" s="52">
        <f>ABS(D22)-(ABS(D22)*COS('Ballistics Table'!$S$17*PI()/180))</f>
        <v>0</v>
      </c>
      <c r="M22" s="53">
        <f>SUM(((A22-A21)*3)/'Ballistics Table'!B22)+M21</f>
        <v>1.7706326551660108</v>
      </c>
      <c r="N22" s="81">
        <f>IF(A22&gt;0,(((M22*('Ballistics Table'!$S$18*(1.466*12)))-'Ballistics Table'!$S$19)/((A22/100)*'Ballistics Table'!$S$12)),0)</f>
        <v>0</v>
      </c>
      <c r="O22" s="54">
        <f>(M22*('Ballistics Table'!$S$18*(1.466*12)))-'Ballistics Table'!$S$19</f>
        <v>0</v>
      </c>
    </row>
    <row r="23" spans="1:15" ht="12.75">
      <c r="A23" s="55">
        <f>A22+'Ballistics Table'!$S$8</f>
        <v>1094.0000000000005</v>
      </c>
      <c r="B23" s="56">
        <f>TRUNC(Calculations!S29+(-Calculations!M29-SQRT(Calculations!M29^2-4*Calculations!N29*(Calculations!L29-Calculations!J29)))/(2*Calculations!N29))</f>
        <v>1162</v>
      </c>
      <c r="C23" s="86">
        <f>TRUNC(B23^2*'Ballistics Table'!$S$5/450400.1)</f>
        <v>500</v>
      </c>
      <c r="D23" s="90">
        <f>-12*Calculations!U29*Calculations!T29^2</f>
        <v>-519.4293385909921</v>
      </c>
      <c r="E23" s="43">
        <f>D23-'Ballistics Table'!$S$11+((A23/100)*Calculations!$B$6)</f>
        <v>-473.322378226938</v>
      </c>
      <c r="F23" s="94">
        <f>IF(A23&gt;0,SUM(('Ballistics Table'!E23/'Ballistics Table'!$S$13)/(A23/100)),0)</f>
        <v>-41.32311332866585</v>
      </c>
      <c r="G23" s="77">
        <f>IF(A23&gt;0,ABS(SUM(F23/'Ballistics Table'!$S$12)),0)</f>
        <v>12.012532944379608</v>
      </c>
      <c r="H23" s="63">
        <f t="shared" si="0"/>
        <v>4.114930061550368</v>
      </c>
      <c r="I23" s="57">
        <f>ABS(($J$1*35.2)*(Calculations!T29-(3*A23)/'Ballistics Table'!$S$4))/2</f>
        <v>136.68114282727078</v>
      </c>
      <c r="J23" s="82">
        <f>IF(I23&gt;0,SUM((I23/'Ballistics Table'!$S$13)/(A23/100)),0)</f>
        <v>11.932861438118724</v>
      </c>
      <c r="K23" s="63">
        <f>SUM(J23/'Ballistics Table'!$S$12)</f>
        <v>3.4688550692205595</v>
      </c>
      <c r="L23" s="59">
        <f>ABS(D23)-(ABS(D23)*COS('Ballistics Table'!$S$17*PI()/180))</f>
        <v>0</v>
      </c>
      <c r="M23" s="60">
        <f>SUM(((A23-A22)*3)/'Ballistics Table'!B23)+M22</f>
        <v>1.911854686147078</v>
      </c>
      <c r="N23" s="80">
        <f>IF(A23&gt;0,(((M23*('Ballistics Table'!$S$18*(1.466*12)))-'Ballistics Table'!$S$19)/((A23/100)*'Ballistics Table'!$S$12)),0)</f>
        <v>0</v>
      </c>
      <c r="O23" s="61">
        <f>(M23*('Ballistics Table'!$S$18*(1.466*12)))-'Ballistics Table'!$S$19</f>
        <v>0</v>
      </c>
    </row>
    <row r="24" spans="1:15" ht="12.75">
      <c r="A24" s="48">
        <f>A23+'Ballistics Table'!$S$8</f>
        <v>1148.7000000000005</v>
      </c>
      <c r="B24" s="49">
        <f>TRUNC(Calculations!S30+(-Calculations!M30-SQRT(Calculations!M30^2-4*Calculations!N30*(Calculations!L30-Calculations!J30)))/(2*Calculations!N30))</f>
        <v>1120</v>
      </c>
      <c r="C24" s="85">
        <f>TRUNC(B24^2*'Ballistics Table'!$S$5/450400.1)</f>
        <v>465</v>
      </c>
      <c r="D24" s="89">
        <f>-12*Calculations!U30*Calculations!T30^2</f>
        <v>-595.7730904998986</v>
      </c>
      <c r="E24" s="97">
        <f>D24-'Ballistics Table'!$S$11+((A24/100)*Calculations!$B$6)</f>
        <v>-547.2623569207914</v>
      </c>
      <c r="F24" s="95">
        <f>IF(A24&gt;0,SUM(('Ballistics Table'!E24/'Ballistics Table'!$S$13)/(A24/100)),0)</f>
        <v>-45.503235036158664</v>
      </c>
      <c r="G24" s="78">
        <f>IF(A24&gt;0,ABS(SUM(F24/'Ballistics Table'!$S$12)),0)</f>
        <v>13.227684603534495</v>
      </c>
      <c r="H24" s="62">
        <f t="shared" si="0"/>
        <v>4.180121707492816</v>
      </c>
      <c r="I24" s="50">
        <f>ABS(($J$1*35.2)*(Calculations!T30-(3*A24)/'Ballistics Table'!$S$4))/2</f>
        <v>153.06042440503276</v>
      </c>
      <c r="J24" s="83">
        <f>IF(I24&gt;0,SUM((I24/'Ballistics Table'!$S$13)/(A24/100)),0)</f>
        <v>12.72651842093435</v>
      </c>
      <c r="K24" s="62">
        <f>SUM(J24/'Ballistics Table'!$S$12)</f>
        <v>3.699569308411148</v>
      </c>
      <c r="L24" s="52">
        <f>ABS(D24)-(ABS(D24)*COS('Ballistics Table'!$S$17*PI()/180))</f>
        <v>0</v>
      </c>
      <c r="M24" s="53">
        <f>SUM(((A24-A23)*3)/'Ballistics Table'!B24)+M23</f>
        <v>2.058372543289935</v>
      </c>
      <c r="N24" s="81">
        <f>IF(A24&gt;0,(((M24*('Ballistics Table'!$S$18*(1.466*12)))-'Ballistics Table'!$S$19)/((A24/100)*'Ballistics Table'!$S$12)),0)</f>
        <v>0</v>
      </c>
      <c r="O24" s="54">
        <f>(M24*('Ballistics Table'!$S$18*(1.466*12)))-'Ballistics Table'!$S$19</f>
        <v>0</v>
      </c>
    </row>
    <row r="25" spans="1:15" ht="12.75">
      <c r="A25" s="55">
        <f>A24+'Ballistics Table'!$S$8</f>
        <v>1203.4000000000005</v>
      </c>
      <c r="B25" s="56">
        <f>TRUNC(Calculations!S31+(-Calculations!M31-SQRT(Calculations!M31^2-4*Calculations!N31*(Calculations!L31-Calculations!J31)))/(2*Calculations!N31))</f>
        <v>1084</v>
      </c>
      <c r="C25" s="86">
        <f>TRUNC(B25^2*'Ballistics Table'!$S$5/450400.1)</f>
        <v>435</v>
      </c>
      <c r="D25" s="90">
        <f>-12*Calculations!U31*Calculations!T31^2</f>
        <v>-683.6952894454132</v>
      </c>
      <c r="E25" s="43">
        <f>D25-'Ballistics Table'!$S$11+((A25/100)*Calculations!$B$6)</f>
        <v>-632.7807826512529</v>
      </c>
      <c r="F25" s="94">
        <f>IF(A25&gt;0,SUM(('Ballistics Table'!E25/'Ballistics Table'!$S$13)/(A25/100)),0)</f>
        <v>-50.222299366317294</v>
      </c>
      <c r="G25" s="77">
        <f>IF(A25&gt;0,ABS(SUM(F25/'Ballistics Table'!$S$12)),0)</f>
        <v>14.5995056297434</v>
      </c>
      <c r="H25" s="63">
        <f t="shared" si="0"/>
        <v>4.719064330158631</v>
      </c>
      <c r="I25" s="57">
        <f>ABS(($J$1*35.2)*(Calculations!T31-(3*A25)/'Ballistics Table'!$S$4))/2</f>
        <v>171.4202812368922</v>
      </c>
      <c r="J25" s="82">
        <f>IF(I25&gt;0,SUM((I25/'Ballistics Table'!$S$13)/(A25/100)),0)</f>
        <v>13.605218296400578</v>
      </c>
      <c r="K25" s="63">
        <f>SUM(J25/'Ballistics Table'!$S$12)</f>
        <v>3.9550053187210983</v>
      </c>
      <c r="L25" s="59">
        <f>ABS(D25)-(ABS(D25)*COS('Ballistics Table'!$S$17*PI()/180))</f>
        <v>0</v>
      </c>
      <c r="M25" s="60">
        <f>SUM(((A25-A24)*3)/'Ballistics Table'!B25)+M24</f>
        <v>2.2097563071275736</v>
      </c>
      <c r="N25" s="80">
        <f>IF(A25&gt;0,(((M25*('Ballistics Table'!$S$18*(1.466*12)))-'Ballistics Table'!$S$19)/((A25/100)*'Ballistics Table'!$S$12)),0)</f>
        <v>0</v>
      </c>
      <c r="O25" s="61">
        <f>(M25*('Ballistics Table'!$S$18*(1.466*12)))-'Ballistics Table'!$S$19</f>
        <v>0</v>
      </c>
    </row>
    <row r="26" spans="1:15" ht="12.75">
      <c r="A26" s="48">
        <f>A25+'Ballistics Table'!$S$8</f>
        <v>1258.1000000000006</v>
      </c>
      <c r="B26" s="49">
        <f>TRUNC(Calculations!S32+(-Calculations!M32-SQRT(Calculations!M32^2-4*Calculations!N32*(Calculations!L32-Calculations!J32)))/(2*Calculations!N32))</f>
        <v>1053</v>
      </c>
      <c r="C26" s="85">
        <f>TRUNC(B26^2*'Ballistics Table'!$S$5/450400.1)</f>
        <v>411</v>
      </c>
      <c r="D26" s="89">
        <f>-12*Calculations!U32*Calculations!T32^2</f>
        <v>-777.0795086759344</v>
      </c>
      <c r="E26" s="97">
        <f>D26-'Ballistics Table'!$S$11+((A26/100)*Calculations!$B$6)</f>
        <v>-723.7612286667211</v>
      </c>
      <c r="F26" s="95">
        <f>IF(A26&gt;0,SUM(('Ballistics Table'!E26/'Ballistics Table'!$S$13)/(A26/100)),0)</f>
        <v>-54.945669628465296</v>
      </c>
      <c r="G26" s="78">
        <f>IF(A26&gt;0,ABS(SUM(F26/'Ballistics Table'!$S$12)),0)</f>
        <v>15.97257838036782</v>
      </c>
      <c r="H26" s="62">
        <f t="shared" si="0"/>
        <v>4.723370262148002</v>
      </c>
      <c r="I26" s="50">
        <f>ABS(($J$1*35.2)*(Calculations!T32-(3*A26)/'Ballistics Table'!$S$4))/2</f>
        <v>189.6096810647566</v>
      </c>
      <c r="J26" s="83">
        <f>IF(I26&gt;0,SUM((I26/'Ballistics Table'!$S$13)/(A26/100)),0)</f>
        <v>14.394568928947413</v>
      </c>
      <c r="K26" s="62">
        <f>SUM(J26/'Ballistics Table'!$S$12)</f>
        <v>4.184467711903317</v>
      </c>
      <c r="L26" s="52">
        <f>ABS(D26)-(ABS(D26)*COS('Ballistics Table'!$S$17*PI()/180))</f>
        <v>0</v>
      </c>
      <c r="M26" s="53">
        <f>SUM(((A26-A25)*3)/'Ballistics Table'!B26)+M25</f>
        <v>2.3655967629680297</v>
      </c>
      <c r="N26" s="81">
        <f>IF(A26&gt;0,(((M26*('Ballistics Table'!$S$18*(1.466*12)))-'Ballistics Table'!$S$19)/((A26/100)*'Ballistics Table'!$S$12)),0)</f>
        <v>0</v>
      </c>
      <c r="O26" s="54">
        <f>(M26*('Ballistics Table'!$S$18*(1.466*12)))-'Ballistics Table'!$S$19</f>
        <v>0</v>
      </c>
    </row>
    <row r="27" spans="1:15" ht="12.75">
      <c r="A27" s="55">
        <f>A26+'Ballistics Table'!$S$8</f>
        <v>1312.8000000000006</v>
      </c>
      <c r="B27" s="56">
        <f>TRUNC(Calculations!S33+(-Calculations!M33-SQRT(Calculations!M33^2-4*Calculations!N33*(Calculations!L33-Calculations!J33)))/(2*Calculations!N33))</f>
        <v>1025</v>
      </c>
      <c r="C27" s="86">
        <f>TRUNC(B27^2*'Ballistics Table'!$S$5/450400.1)</f>
        <v>389</v>
      </c>
      <c r="D27" s="90">
        <f>-12*Calculations!U33*Calculations!T33^2</f>
        <v>-880.9287116839537</v>
      </c>
      <c r="E27" s="43">
        <f>D27-'Ballistics Table'!$S$11+((A27/100)*Calculations!$B$6)</f>
        <v>-825.2066584596872</v>
      </c>
      <c r="F27" s="94">
        <f>IF(A27&gt;0,SUM(('Ballistics Table'!E27/'Ballistics Table'!$S$13)/(A27/100)),0)</f>
        <v>-60.03679140567656</v>
      </c>
      <c r="G27" s="77">
        <f>IF(A27&gt;0,ABS(SUM(F27/'Ballistics Table'!$S$12)),0)</f>
        <v>17.452555641185047</v>
      </c>
      <c r="H27" s="63">
        <f t="shared" si="0"/>
        <v>5.091121777211264</v>
      </c>
      <c r="I27" s="57">
        <f>ABS(($J$1*35.2)*(Calculations!T33-(3*A27)/'Ballistics Table'!$S$4))/2</f>
        <v>209.09933757681617</v>
      </c>
      <c r="J27" s="82">
        <f>IF(I27&gt;0,SUM((I27/'Ballistics Table'!$S$13)/(A27/100)),0)</f>
        <v>15.2127387539466</v>
      </c>
      <c r="K27" s="63">
        <f>SUM(J27/'Ballistics Table'!$S$12)</f>
        <v>4.422307777310058</v>
      </c>
      <c r="L27" s="59">
        <f>ABS(D27)-(ABS(D27)*COS('Ballistics Table'!$S$17*PI()/180))</f>
        <v>0</v>
      </c>
      <c r="M27" s="60">
        <f>SUM(((A27-A26)*3)/'Ballistics Table'!B27)+M26</f>
        <v>2.5256943239436396</v>
      </c>
      <c r="N27" s="80">
        <f>IF(A27&gt;0,(((M27*('Ballistics Table'!$S$18*(1.466*12)))-'Ballistics Table'!$S$19)/((A27/100)*'Ballistics Table'!$S$12)),0)</f>
        <v>0</v>
      </c>
      <c r="O27" s="61">
        <f>(M27*('Ballistics Table'!$S$18*(1.466*12)))-'Ballistics Table'!$S$19</f>
        <v>0</v>
      </c>
    </row>
    <row r="28" spans="1:16" ht="12.75">
      <c r="A28" s="48">
        <f>A27+'Ballistics Table'!$S$8</f>
        <v>1367.5000000000007</v>
      </c>
      <c r="B28" s="49">
        <f>TRUNC(Calculations!S34+(-Calculations!M34-SQRT(Calculations!M34^2-4*Calculations!N34*(Calculations!L34-Calculations!J34)))/(2*Calculations!N34))</f>
        <v>1000</v>
      </c>
      <c r="C28" s="85">
        <f>TRUNC(B28^2*'Ballistics Table'!$S$5/450400.1)</f>
        <v>370</v>
      </c>
      <c r="D28" s="89">
        <f>-12*Calculations!U34*Calculations!T34^2</f>
        <v>-995.0879129224212</v>
      </c>
      <c r="E28" s="97">
        <f>D28-'Ballistics Table'!$S$11+((A28/100)*Calculations!$B$6)</f>
        <v>-936.9620864831016</v>
      </c>
      <c r="F28" s="95">
        <f>IF(A28&gt;0,SUM(('Ballistics Table'!E28/'Ballistics Table'!$S$13)/(A28/100)),0)</f>
        <v>-65.44070978337</v>
      </c>
      <c r="G28" s="78">
        <f>IF(A28&gt;0,ABS(SUM(F28/'Ballistics Table'!$S$12)),0)</f>
        <v>19.023462146328487</v>
      </c>
      <c r="H28" s="62">
        <f t="shared" si="0"/>
        <v>5.4039183776934365</v>
      </c>
      <c r="I28" s="50">
        <f>ABS(($J$1*35.2)*(Calculations!T34-(3*A28)/'Ballistics Table'!$S$4))/2</f>
        <v>229.61403485876528</v>
      </c>
      <c r="J28" s="83">
        <f>IF(I28&gt;0,SUM((I28/'Ballistics Table'!$S$13)/(A28/100)),0)</f>
        <v>16.037047426093544</v>
      </c>
      <c r="K28" s="62">
        <f>SUM(J28/'Ballistics Table'!$S$12)</f>
        <v>4.661932391306263</v>
      </c>
      <c r="L28" s="52">
        <f>ABS(D28)-(ABS(D28)*COS('Ballistics Table'!$S$17*PI()/180))</f>
        <v>0</v>
      </c>
      <c r="M28" s="53">
        <f>SUM(((A28-A27)*3)/'Ballistics Table'!B28)+M27</f>
        <v>2.68979432394364</v>
      </c>
      <c r="N28" s="81">
        <f>IF(A28&gt;0,(((M28*('Ballistics Table'!$S$18*(1.466*12)))-'Ballistics Table'!$S$19)/((A28/100)*'Ballistics Table'!$S$12)),0)</f>
        <v>0</v>
      </c>
      <c r="O28" s="54">
        <f>(M28*('Ballistics Table'!$S$18*(1.466*12)))-'Ballistics Table'!$S$19</f>
        <v>0</v>
      </c>
      <c r="P28" s="8"/>
    </row>
    <row r="29" spans="1:15" ht="12.75">
      <c r="A29" s="55">
        <f>A28+'Ballistics Table'!$S$8</f>
        <v>1422.2000000000007</v>
      </c>
      <c r="B29" s="56">
        <f>TRUNC(Calculations!S35+(-Calculations!M35-SQRT(Calculations!M35^2-4*Calculations!N35*(Calculations!L35-Calculations!J35)))/(2*Calculations!N35))</f>
        <v>977</v>
      </c>
      <c r="C29" s="86">
        <f>TRUNC(B29^2*'Ballistics Table'!$S$5/450400.1)</f>
        <v>353</v>
      </c>
      <c r="D29" s="90">
        <f>-12*Calculations!U35*Calculations!T35^2</f>
        <v>-1118.3047803505292</v>
      </c>
      <c r="E29" s="43">
        <f>D29-'Ballistics Table'!$S$11+((A29/100)*Calculations!$B$6)</f>
        <v>-1057.7751806961564</v>
      </c>
      <c r="F29" s="94">
        <f>IF(A29&gt;0,SUM(('Ballistics Table'!E29/'Ballistics Table'!$S$13)/(A29/100)),0)</f>
        <v>-71.03722972051426</v>
      </c>
      <c r="G29" s="77">
        <f>IF(A29&gt;0,ABS(SUM(F29/'Ballistics Table'!$S$12)),0)</f>
        <v>20.65035747689368</v>
      </c>
      <c r="H29" s="63">
        <f t="shared" si="0"/>
        <v>5.596519937144265</v>
      </c>
      <c r="I29" s="57">
        <f>ABS(($J$1*35.2)*(Calculations!T35-(3*A29)/'Ballistics Table'!$S$4))/2</f>
        <v>250.71702646978088</v>
      </c>
      <c r="J29" s="82">
        <f>IF(I29&gt;0,SUM((I29/'Ballistics Table'!$S$13)/(A29/100)),0)</f>
        <v>16.83745594451987</v>
      </c>
      <c r="K29" s="63">
        <f>SUM(J29/'Ballistics Table'!$S$12)</f>
        <v>4.894609286197637</v>
      </c>
      <c r="L29" s="59">
        <f>ABS(D29)-(ABS(D29)*COS('Ballistics Table'!$S$17*PI()/180))</f>
        <v>0</v>
      </c>
      <c r="M29" s="60">
        <f>SUM(((A29-A28)*3)/'Ballistics Table'!B29)+M28</f>
        <v>2.8577574764513165</v>
      </c>
      <c r="N29" s="80">
        <f>IF(A29&gt;0,(((M29*('Ballistics Table'!$S$18*(1.466*12)))-'Ballistics Table'!$S$19)/((A29/100)*'Ballistics Table'!$S$12)),0)</f>
        <v>0</v>
      </c>
      <c r="O29" s="61">
        <f>(M29*('Ballistics Table'!$S$18*(1.466*12)))-'Ballistics Table'!$S$19</f>
        <v>0</v>
      </c>
    </row>
    <row r="30" spans="1:15" ht="12.75">
      <c r="A30" s="48">
        <f>A29+'Ballistics Table'!$S$8</f>
        <v>1476.9000000000008</v>
      </c>
      <c r="B30" s="49">
        <f>TRUNC(Calculations!S36+(-Calculations!M36-SQRT(Calculations!M36^2-4*Calculations!N36*(Calculations!L36-Calculations!J36)))/(2*Calculations!N36))</f>
        <v>956</v>
      </c>
      <c r="C30" s="85">
        <f>TRUNC(B30^2*'Ballistics Table'!$S$5/450400.1)</f>
        <v>338</v>
      </c>
      <c r="D30" s="89">
        <f>-12*Calculations!U36*Calculations!T36^2</f>
        <v>-1254.455503932882</v>
      </c>
      <c r="E30" s="97">
        <f>D30-'Ballistics Table'!$S$11+((A30/100)*Calculations!$B$6)</f>
        <v>-1191.5221310634563</v>
      </c>
      <c r="F30" s="95">
        <f>IF(A30&gt;0,SUM(('Ballistics Table'!E30/'Ballistics Table'!$S$13)/(A30/100)),0)</f>
        <v>-77.05562388341463</v>
      </c>
      <c r="G30" s="78">
        <f>IF(A30&gt;0,ABS(SUM(F30/'Ballistics Table'!$S$12)),0)</f>
        <v>22.39989066378332</v>
      </c>
      <c r="H30" s="62">
        <f t="shared" si="0"/>
        <v>6.018394162900364</v>
      </c>
      <c r="I30" s="50">
        <f>ABS(($J$1*35.2)*(Calculations!T36-(3*A30)/'Ballistics Table'!$S$4))/2</f>
        <v>273.2116238875322</v>
      </c>
      <c r="J30" s="83">
        <f>IF(I30&gt;0,SUM((I30/'Ballistics Table'!$S$13)/(A30/100)),0)</f>
        <v>17.668569959388726</v>
      </c>
      <c r="K30" s="62">
        <f>SUM(J30/'Ballistics Table'!$S$12)</f>
        <v>5.1362121974967225</v>
      </c>
      <c r="L30" s="52">
        <f>ABS(D30)-(ABS(D30)*COS('Ballistics Table'!$S$17*PI()/180))</f>
        <v>0</v>
      </c>
      <c r="M30" s="53">
        <f>SUM(((A30-A29)*3)/'Ballistics Table'!B30)+M29</f>
        <v>3.0294101961165887</v>
      </c>
      <c r="N30" s="81">
        <f>IF(A30&gt;0,(((M30*('Ballistics Table'!$S$18*(1.466*12)))-'Ballistics Table'!$S$19)/((A30/100)*'Ballistics Table'!$S$12)),0)</f>
        <v>0</v>
      </c>
      <c r="O30" s="54">
        <f>(M30*('Ballistics Table'!$S$18*(1.466*12)))-'Ballistics Table'!$S$19</f>
        <v>0</v>
      </c>
    </row>
    <row r="31" spans="1:15" ht="12.75">
      <c r="A31" s="55">
        <f>A30+'Ballistics Table'!$S$8</f>
        <v>1531.6000000000008</v>
      </c>
      <c r="B31" s="56">
        <f>TRUNC(Calculations!S37+(-Calculations!M37-SQRT(Calculations!M37^2-4*Calculations!N37*(Calculations!L37-Calculations!J37)))/(2*Calculations!N37))</f>
        <v>937</v>
      </c>
      <c r="C31" s="86">
        <f>TRUNC(B31^2*'Ballistics Table'!$S$5/450400.1)</f>
        <v>325</v>
      </c>
      <c r="D31" s="90">
        <f>-12*Calculations!U37*Calculations!T37^2</f>
        <v>-1396.4767726877865</v>
      </c>
      <c r="E31" s="43">
        <f>D31-'Ballistics Table'!$S$11+((A31/100)*Calculations!$B$6)</f>
        <v>-1331.1396266033075</v>
      </c>
      <c r="F31" s="94">
        <f>IF(A31&gt;0,SUM(('Ballistics Table'!E31/'Ballistics Table'!$S$13)/(A31/100)),0)</f>
        <v>-83.0102215088607</v>
      </c>
      <c r="G31" s="77">
        <f>IF(A31&gt;0,ABS(SUM(F31/'Ballistics Table'!$S$12)),0)</f>
        <v>24.13087834559904</v>
      </c>
      <c r="H31" s="63">
        <f t="shared" si="0"/>
        <v>5.95459762544607</v>
      </c>
      <c r="I31" s="57">
        <f>ABS(($J$1*35.2)*(Calculations!T37-(3*A31)/'Ballistics Table'!$S$4))/2</f>
        <v>295.30502449439774</v>
      </c>
      <c r="J31" s="82">
        <f>IF(I31&gt;0,SUM((I31/'Ballistics Table'!$S$13)/(A31/100)),0)</f>
        <v>18.415299947542394</v>
      </c>
      <c r="K31" s="63">
        <f>SUM(J31/'Ballistics Table'!$S$12)</f>
        <v>5.3532848684716265</v>
      </c>
      <c r="L31" s="59">
        <f>ABS(D31)-(ABS(D31)*COS('Ballistics Table'!$S$17*PI()/180))</f>
        <v>0</v>
      </c>
      <c r="M31" s="60">
        <f>SUM(((A31-A30)*3)/'Ballistics Table'!B31)+M30</f>
        <v>3.2045436005989796</v>
      </c>
      <c r="N31" s="80">
        <f>IF(A31&gt;0,(((M31*('Ballistics Table'!$S$18*(1.466*12)))-'Ballistics Table'!$S$19)/((A31/100)*'Ballistics Table'!$S$12)),0)</f>
        <v>0</v>
      </c>
      <c r="O31" s="61">
        <f>(M31*('Ballistics Table'!$S$18*(1.466*12)))-'Ballistics Table'!$S$19</f>
        <v>0</v>
      </c>
    </row>
    <row r="32" spans="1:15" ht="12.75">
      <c r="A32" s="48">
        <f>A31+'Ballistics Table'!$S$8</f>
        <v>1586.3000000000009</v>
      </c>
      <c r="B32" s="49">
        <f>TRUNC(Calculations!S38+(-Calculations!M38-SQRT(Calculations!M38^2-4*Calculations!N38*(Calculations!L38-Calculations!J38)))/(2*Calculations!N38))</f>
        <v>919</v>
      </c>
      <c r="C32" s="85">
        <f>TRUNC(B32^2*'Ballistics Table'!$S$5/450400.1)</f>
        <v>313</v>
      </c>
      <c r="D32" s="89">
        <f>-12*Calculations!U38*Calculations!T38^2</f>
        <v>-1550.222295153448</v>
      </c>
      <c r="E32" s="97">
        <f>D32-'Ballistics Table'!$S$11+((A32/100)*Calculations!$B$6)</f>
        <v>-1482.481375853916</v>
      </c>
      <c r="F32" s="95">
        <f>IF(A32&gt;0,SUM(('Ballistics Table'!E32/'Ballistics Table'!$S$13)/(A32/100)),0)</f>
        <v>-89.26007351593647</v>
      </c>
      <c r="G32" s="78">
        <f>IF(A32&gt;0,ABS(SUM(F32/'Ballistics Table'!$S$12)),0)</f>
        <v>25.947695789516416</v>
      </c>
      <c r="H32" s="62">
        <f t="shared" si="0"/>
        <v>6.2498520070757735</v>
      </c>
      <c r="I32" s="50">
        <f>ABS(($J$1*35.2)*(Calculations!T38-(3*A32)/'Ballistics Table'!$S$4))/2</f>
        <v>318.34868975906727</v>
      </c>
      <c r="J32" s="83">
        <f>IF(I32&gt;0,SUM((I32/'Ballistics Table'!$S$13)/(A32/100)),0)</f>
        <v>19.167746667460662</v>
      </c>
      <c r="K32" s="62">
        <f>SUM(J32/'Ballistics Table'!$S$12)</f>
        <v>5.572019380075774</v>
      </c>
      <c r="L32" s="52">
        <f>ABS(D32)-(ABS(D32)*COS('Ballistics Table'!$S$17*PI()/180))</f>
        <v>0</v>
      </c>
      <c r="M32" s="53">
        <f>SUM(((A32-A31)*3)/'Ballistics Table'!B32)+M31</f>
        <v>3.3831072567469667</v>
      </c>
      <c r="N32" s="81">
        <f>IF(A32&gt;0,(((M32*('Ballistics Table'!$S$18*(1.466*12)))-'Ballistics Table'!$S$19)/((A32/100)*'Ballistics Table'!$S$12)),0)</f>
        <v>0</v>
      </c>
      <c r="O32" s="54">
        <f>(M32*('Ballistics Table'!$S$18*(1.466*12)))-'Ballistics Table'!$S$19</f>
        <v>0</v>
      </c>
    </row>
    <row r="33" spans="1:15" ht="12.75">
      <c r="A33" s="55">
        <f>A32+'Ballistics Table'!$S$8</f>
        <v>1641.000000000001</v>
      </c>
      <c r="B33" s="56">
        <f>TRUNC(Calculations!S39+(-Calculations!M39-SQRT(Calculations!M39^2-4*Calculations!N39*(Calculations!L39-Calculations!J39)))/(2*Calculations!N39))</f>
        <v>902</v>
      </c>
      <c r="C33" s="86">
        <f>TRUNC(B33^2*'Ballistics Table'!$S$5/450400.1)</f>
        <v>301</v>
      </c>
      <c r="D33" s="90">
        <f>-12*Calculations!U39*Calculations!T39^2</f>
        <v>-1714.1548280711204</v>
      </c>
      <c r="E33" s="43">
        <f>D33-'Ballistics Table'!$S$11+((A33/100)*Calculations!$B$6)</f>
        <v>-1644.0101355565353</v>
      </c>
      <c r="F33" s="94">
        <f>IF(A33&gt;0,SUM(('Ballistics Table'!E33/'Ballistics Table'!$S$13)/(A33/100)),0)</f>
        <v>-95.68618242752336</v>
      </c>
      <c r="G33" s="77">
        <f>IF(A33&gt;0,ABS(SUM(F33/'Ballistics Table'!$S$12)),0)</f>
        <v>27.815750705675395</v>
      </c>
      <c r="H33" s="63">
        <f t="shared" si="0"/>
        <v>6.426108911586894</v>
      </c>
      <c r="I33" s="57">
        <f>ABS(($J$1*35.2)*(Calculations!T39-(3*A33)/'Ballistics Table'!$S$4))/2</f>
        <v>341.9010999665916</v>
      </c>
      <c r="J33" s="82">
        <f>IF(I33&gt;0,SUM((I33/'Ballistics Table'!$S$13)/(A33/100)),0)</f>
        <v>19.899640711460293</v>
      </c>
      <c r="K33" s="63">
        <f>SUM(J33/'Ballistics Table'!$S$12)</f>
        <v>5.784779276587295</v>
      </c>
      <c r="L33" s="59">
        <f>ABS(D33)-(ABS(D33)*COS('Ballistics Table'!$S$17*PI()/180))</f>
        <v>0</v>
      </c>
      <c r="M33" s="60">
        <f>SUM(((A33-A32)*3)/'Ballistics Table'!B33)+M32</f>
        <v>3.5650363033101597</v>
      </c>
      <c r="N33" s="80">
        <f>IF(A33&gt;0,(((M33*('Ballistics Table'!$S$18*(1.466*12)))-'Ballistics Table'!$S$19)/((A33/100)*'Ballistics Table'!$S$12)),0)</f>
        <v>0</v>
      </c>
      <c r="O33" s="61">
        <f>(M33*('Ballistics Table'!$S$18*(1.466*12)))-'Ballistics Table'!$S$19</f>
        <v>0</v>
      </c>
    </row>
    <row r="34" spans="1:15" ht="12.75">
      <c r="A34" s="48">
        <f>A33+'Ballistics Table'!$S$8</f>
        <v>1695.700000000001</v>
      </c>
      <c r="B34" s="49">
        <f>TRUNC(Calculations!S40+(-Calculations!M40-SQRT(Calculations!M40^2-4*Calculations!N40*(Calculations!L40-Calculations!J40)))/(2*Calculations!N40))</f>
        <v>885</v>
      </c>
      <c r="C34" s="85">
        <f>TRUNC(B34^2*'Ballistics Table'!$S$5/450400.1)</f>
        <v>290</v>
      </c>
      <c r="D34" s="89">
        <f>-12*Calculations!U40*Calculations!T40^2</f>
        <v>-1897.852500314471</v>
      </c>
      <c r="E34" s="97">
        <f>D34-'Ballistics Table'!$S$11+((A34/100)*Calculations!$B$6)</f>
        <v>-1825.3040345848328</v>
      </c>
      <c r="F34" s="95">
        <f>IF(A34&gt;0,SUM(('Ballistics Table'!E34/'Ballistics Table'!$S$13)/(A34/100)),0)</f>
        <v>-102.81098308074105</v>
      </c>
      <c r="G34" s="78">
        <f>IF(A34&gt;0,ABS(SUM(F34/'Ballistics Table'!$S$12)),0)</f>
        <v>29.886913686261934</v>
      </c>
      <c r="H34" s="62">
        <f t="shared" si="0"/>
        <v>7.12480065321769</v>
      </c>
      <c r="I34" s="50">
        <f>ABS(($J$1*35.2)*(Calculations!T40-(3*A34)/'Ballistics Table'!$S$4))/2</f>
        <v>367.8164582781977</v>
      </c>
      <c r="J34" s="83">
        <f>IF(I34&gt;0,SUM((I34/'Ballistics Table'!$S$13)/(A34/100)),0)</f>
        <v>20.717409786177935</v>
      </c>
      <c r="K34" s="62">
        <f>SUM(J34/'Ballistics Table'!$S$12)</f>
        <v>6.022502844819167</v>
      </c>
      <c r="L34" s="52">
        <f>ABS(D34)-(ABS(D34)*COS('Ballistics Table'!$S$17*PI()/180))</f>
        <v>0</v>
      </c>
      <c r="M34" s="53">
        <f>SUM(((A34-A33)*3)/'Ballistics Table'!B34)+M33</f>
        <v>3.750460032123719</v>
      </c>
      <c r="N34" s="81">
        <f>IF(A34&gt;0,(((M34*('Ballistics Table'!$S$18*(1.466*12)))-'Ballistics Table'!$S$19)/((A34/100)*'Ballistics Table'!$S$12)),0)</f>
        <v>0</v>
      </c>
      <c r="O34" s="54">
        <f>(M34*('Ballistics Table'!$S$18*(1.466*12)))-'Ballistics Table'!$S$19</f>
        <v>0</v>
      </c>
    </row>
    <row r="35" spans="1:15" ht="12.75">
      <c r="A35" s="55">
        <f>A34+'Ballistics Table'!$S$8</f>
        <v>1750.400000000001</v>
      </c>
      <c r="B35" s="56">
        <f>TRUNC(Calculations!S41+(-Calculations!M41-SQRT(Calculations!M41^2-4*Calculations!N41*(Calculations!L41-Calculations!J41)))/(2*Calculations!N41))</f>
        <v>870</v>
      </c>
      <c r="C35" s="86">
        <f>TRUNC(B35^2*'Ballistics Table'!$S$5/450400.1)</f>
        <v>280</v>
      </c>
      <c r="D35" s="90">
        <f>-12*Calculations!U41*Calculations!T41^2</f>
        <v>-2084.3014474211645</v>
      </c>
      <c r="E35" s="43">
        <f>D35-'Ballistics Table'!$S$11+((A35/100)*Calculations!$B$6)</f>
        <v>-2009.3492084764732</v>
      </c>
      <c r="F35" s="94">
        <f>IF(A35&gt;0,SUM(('Ballistics Table'!E35/'Ballistics Table'!$S$13)/(A35/100)),0)</f>
        <v>-109.64060764697213</v>
      </c>
      <c r="G35" s="77">
        <f>IF(A35&gt;0,ABS(SUM(F35/'Ballistics Table'!$S$12)),0)</f>
        <v>31.87226966481748</v>
      </c>
      <c r="H35" s="63">
        <f t="shared" si="0"/>
        <v>6.829624566231075</v>
      </c>
      <c r="I35" s="57">
        <f>ABS(($J$1*35.2)*(Calculations!T41-(3*A35)/'Ballistics Table'!$S$4))/2</f>
        <v>392.5007806656893</v>
      </c>
      <c r="J35" s="82">
        <f>IF(I35&gt;0,SUM((I35/'Ballistics Table'!$S$13)/(A35/100)),0)</f>
        <v>21.41689653175135</v>
      </c>
      <c r="K35" s="63">
        <f>SUM(J35/'Ballistics Table'!$S$12)</f>
        <v>6.225842015043998</v>
      </c>
      <c r="L35" s="59">
        <f>ABS(D35)-(ABS(D35)*COS('Ballistics Table'!$S$17*PI()/180))</f>
        <v>0</v>
      </c>
      <c r="M35" s="60">
        <f>SUM(((A35-A34)*3)/'Ballistics Table'!B35)+M34</f>
        <v>3.939080721778892</v>
      </c>
      <c r="N35" s="80">
        <f>IF(A35&gt;0,(((M35*('Ballistics Table'!$S$18*(1.466*12)))-'Ballistics Table'!$S$19)/((A35/100)*'Ballistics Table'!$S$12)),0)</f>
        <v>0</v>
      </c>
      <c r="O35" s="61">
        <f>(M35*('Ballistics Table'!$S$18*(1.466*12)))-'Ballistics Table'!$S$19</f>
        <v>0</v>
      </c>
    </row>
    <row r="36" spans="1:15" ht="12.75">
      <c r="A36" s="48">
        <f>A35+'Ballistics Table'!$S$8</f>
        <v>1805.100000000001</v>
      </c>
      <c r="B36" s="49">
        <f>TRUNC(Calculations!S42+(-Calculations!M42-SQRT(Calculations!M42^2-4*Calculations!N42*(Calculations!L42-Calculations!J42)))/(2*Calculations!N42))</f>
        <v>855</v>
      </c>
      <c r="C36" s="85">
        <f>TRUNC(B36^2*'Ballistics Table'!$S$5/450400.1)</f>
        <v>271</v>
      </c>
      <c r="D36" s="89">
        <f>-12*Calculations!U42*Calculations!T42^2</f>
        <v>-2289.258947119657</v>
      </c>
      <c r="E36" s="97">
        <f>D36-'Ballistics Table'!$S$11+((A36/100)*Calculations!$B$6)</f>
        <v>-2211.9029349599127</v>
      </c>
      <c r="F36" s="95">
        <f>IF(A36&gt;0,SUM(('Ballistics Table'!E36/'Ballistics Table'!$S$13)/(A36/100)),0)</f>
        <v>-117.03563531470935</v>
      </c>
      <c r="G36" s="78">
        <f>IF(A36&gt;0,ABS(SUM(F36/'Ballistics Table'!$S$12)),0)</f>
        <v>34.02198701008993</v>
      </c>
      <c r="H36" s="62">
        <f t="shared" si="0"/>
        <v>7.395027667737224</v>
      </c>
      <c r="I36" s="50">
        <f>ABS(($J$1*35.2)*(Calculations!T42-(3*A36)/'Ballistics Table'!$S$4))/2</f>
        <v>419.03743485327647</v>
      </c>
      <c r="J36" s="83">
        <f>IF(I36&gt;0,SUM((I36/'Ballistics Table'!$S$13)/(A36/100)),0)</f>
        <v>22.172000241768362</v>
      </c>
      <c r="K36" s="62">
        <f>SUM(J36/'Ballistics Table'!$S$12)</f>
        <v>6.4453489074908035</v>
      </c>
      <c r="L36" s="52">
        <f>ABS(D36)-(ABS(D36)*COS('Ballistics Table'!$S$17*PI()/180))</f>
        <v>0</v>
      </c>
      <c r="M36" s="53">
        <f>SUM(((A36-A35)*3)/'Ballistics Table'!B36)+M35</f>
        <v>4.1310105463402955</v>
      </c>
      <c r="N36" s="81">
        <f>IF(A36&gt;0,(((M36*('Ballistics Table'!$S$18*(1.466*12)))-'Ballistics Table'!$S$19)/((A36/100)*'Ballistics Table'!$S$12)),0)</f>
        <v>0</v>
      </c>
      <c r="O36" s="54">
        <f>(M36*('Ballistics Table'!$S$18*(1.466*12)))-'Ballistics Table'!$S$19</f>
        <v>0</v>
      </c>
    </row>
    <row r="37" spans="1:15" ht="12.75">
      <c r="A37" s="55">
        <f>A36+'Ballistics Table'!$S$8</f>
        <v>1859.800000000001</v>
      </c>
      <c r="B37" s="56">
        <f>TRUNC(Calculations!S43+(-Calculations!M43-SQRT(Calculations!M43^2-4*Calculations!N43*(Calculations!L43-Calculations!J43)))/(2*Calculations!N43))</f>
        <v>841</v>
      </c>
      <c r="C37" s="86">
        <f>TRUNC(B37^2*'Ballistics Table'!$S$5/450400.1)</f>
        <v>262</v>
      </c>
      <c r="D37" s="90">
        <f>-12*Calculations!U43*Calculations!T43^2</f>
        <v>-2500.931179014472</v>
      </c>
      <c r="E37" s="43">
        <f>D37-'Ballistics Table'!$S$11+((A37/100)*Calculations!$B$6)</f>
        <v>-2421.1713936396745</v>
      </c>
      <c r="F37" s="94">
        <f>IF(A37&gt;0,SUM(('Ballistics Table'!E37/'Ballistics Table'!$S$13)/(A37/100)),0)</f>
        <v>-124.34049987400816</v>
      </c>
      <c r="G37" s="77">
        <f>IF(A37&gt;0,ABS(SUM(F37/'Ballistics Table'!$S$12)),0)</f>
        <v>36.145494149420976</v>
      </c>
      <c r="H37" s="63">
        <f t="shared" si="0"/>
        <v>7.304864559298807</v>
      </c>
      <c r="I37" s="57">
        <f>ABS(($J$1*35.2)*(Calculations!T43-(3*A37)/'Ballistics Table'!$S$4))/2</f>
        <v>445.1324027648782</v>
      </c>
      <c r="J37" s="82">
        <f>IF(I37&gt;0,SUM((I37/'Ballistics Table'!$S$13)/(A37/100)),0)</f>
        <v>22.86000306103911</v>
      </c>
      <c r="K37" s="63">
        <f>SUM(J37/'Ballistics Table'!$S$12)</f>
        <v>6.645349727046253</v>
      </c>
      <c r="L37" s="59">
        <f>ABS(D37)-(ABS(D37)*COS('Ballistics Table'!$S$17*PI()/180))</f>
        <v>0</v>
      </c>
      <c r="M37" s="60">
        <f>SUM(((A37-A36)*3)/'Ballistics Table'!B37)+M36</f>
        <v>4.3261353977077155</v>
      </c>
      <c r="N37" s="80">
        <f>IF(A37&gt;0,(((M37*('Ballistics Table'!$S$18*(1.466*12)))-'Ballistics Table'!$S$19)/((A37/100)*'Ballistics Table'!$S$12)),0)</f>
        <v>0</v>
      </c>
      <c r="O37" s="61">
        <f>(M37*('Ballistics Table'!$S$18*(1.466*12)))-'Ballistics Table'!$S$19</f>
        <v>0</v>
      </c>
    </row>
    <row r="38" spans="1:15" ht="12.75">
      <c r="A38" s="48">
        <f>A37+'Ballistics Table'!$S$8</f>
        <v>1914.5000000000011</v>
      </c>
      <c r="B38" s="49">
        <f>TRUNC(Calculations!S44+(-Calculations!M44-SQRT(Calculations!M44^2-4*Calculations!N44*(Calculations!L44-Calculations!J44)))/(2*Calculations!N44))</f>
        <v>827</v>
      </c>
      <c r="C38" s="85">
        <f>TRUNC(B38^2*'Ballistics Table'!$S$5/450400.1)</f>
        <v>253</v>
      </c>
      <c r="D38" s="89">
        <f>-12*Calculations!U44*Calculations!T44^2</f>
        <v>-2733.708685164196</v>
      </c>
      <c r="E38" s="97">
        <f>D38-'Ballistics Table'!$S$11+((A38/100)*Calculations!$B$6)</f>
        <v>-2651.5451265743454</v>
      </c>
      <c r="F38" s="95">
        <f>IF(A38&gt;0,SUM(('Ballistics Table'!E38/'Ballistics Table'!$S$13)/(A38/100)),0)</f>
        <v>-132.28084801851972</v>
      </c>
      <c r="G38" s="78">
        <f>IF(A38&gt;0,ABS(SUM(F38/'Ballistics Table'!$S$12)),0)</f>
        <v>38.453734889104574</v>
      </c>
      <c r="H38" s="62">
        <f t="shared" si="0"/>
        <v>7.94034814451156</v>
      </c>
      <c r="I38" s="50">
        <f>ABS(($J$1*35.2)*(Calculations!T44-(3*A38)/'Ballistics Table'!$S$4))/2</f>
        <v>473.25459154522935</v>
      </c>
      <c r="J38" s="83">
        <f>IF(I38&gt;0,SUM((I38/'Ballistics Table'!$S$13)/(A38/100)),0)</f>
        <v>23.60982585996574</v>
      </c>
      <c r="K38" s="62">
        <f>SUM(J38/'Ballistics Table'!$S$12)</f>
        <v>6.863321470920273</v>
      </c>
      <c r="L38" s="52">
        <f>ABS(D38)-(ABS(D38)*COS('Ballistics Table'!$S$17*PI()/180))</f>
        <v>0</v>
      </c>
      <c r="M38" s="53">
        <f>SUM(((A38-A37)*3)/'Ballistics Table'!B38)+M37</f>
        <v>4.524563450912069</v>
      </c>
      <c r="N38" s="81">
        <f>IF(A38&gt;0,(((M38*('Ballistics Table'!$S$18*(1.466*12)))-'Ballistics Table'!$S$19)/((A38/100)*'Ballistics Table'!$S$12)),0)</f>
        <v>0</v>
      </c>
      <c r="O38" s="54">
        <f>(M38*('Ballistics Table'!$S$18*(1.466*12)))-'Ballistics Table'!$S$19</f>
        <v>0</v>
      </c>
    </row>
    <row r="39" spans="1:15" ht="12.75">
      <c r="A39" s="55">
        <f>A38+'Ballistics Table'!$S$8</f>
        <v>1969.2000000000012</v>
      </c>
      <c r="B39" s="56">
        <f>TRUNC(Calculations!S45+(-Calculations!M45-SQRT(Calculations!M45^2-4*Calculations!N45*(Calculations!L45-Calculations!J45)))/(2*Calculations!N45))</f>
        <v>814</v>
      </c>
      <c r="C39" s="86">
        <f>TRUNC(B39^2*'Ballistics Table'!$S$5/450400.1)</f>
        <v>245</v>
      </c>
      <c r="D39" s="90">
        <f>-12*Calculations!U45*Calculations!T45^2</f>
        <v>-2970.0327271837614</v>
      </c>
      <c r="E39" s="43">
        <f>D39-'Ballistics Table'!$S$11+((A39/100)*Calculations!$B$6)</f>
        <v>-2885.4653953788575</v>
      </c>
      <c r="F39" s="94">
        <f>IF(A39&gt;0,SUM(('Ballistics Table'!E39/'Ballistics Table'!$S$13)/(A39/100)),0)</f>
        <v>-139.9520813158193</v>
      </c>
      <c r="G39" s="77">
        <f>IF(A39&gt;0,ABS(SUM(F39/'Ballistics Table'!$S$12)),0)</f>
        <v>40.68374456855212</v>
      </c>
      <c r="H39" s="63">
        <f t="shared" si="0"/>
        <v>7.67123329729958</v>
      </c>
      <c r="I39" s="57">
        <f>ABS(($J$1*35.2)*(Calculations!T45-(3*A39)/'Ballistics Table'!$S$4))/2</f>
        <v>500.35588808709565</v>
      </c>
      <c r="J39" s="82">
        <f>IF(I39&gt;0,SUM((I39/'Ballistics Table'!$S$13)/(A39/100)),0)</f>
        <v>24.26847608311723</v>
      </c>
      <c r="K39" s="63">
        <f>SUM(J39/'Ballistics Table'!$S$12)</f>
        <v>7.054789559045706</v>
      </c>
      <c r="L39" s="59">
        <f>ABS(D39)-(ABS(D39)*COS('Ballistics Table'!$S$17*PI()/180))</f>
        <v>0</v>
      </c>
      <c r="M39" s="60">
        <f>SUM(((A39-A38)*3)/'Ballistics Table'!B39)+M38</f>
        <v>4.726160502509121</v>
      </c>
      <c r="N39" s="80">
        <f>IF(A39&gt;0,(((M39*('Ballistics Table'!$S$18*(1.466*12)))-'Ballistics Table'!$S$19)/((A39/100)*'Ballistics Table'!$S$12)),0)</f>
        <v>0</v>
      </c>
      <c r="O39" s="61">
        <f>(M39*('Ballistics Table'!$S$18*(1.466*12)))-'Ballistics Table'!$S$19</f>
        <v>0</v>
      </c>
    </row>
    <row r="40" spans="1:15" ht="12.75">
      <c r="A40" s="48">
        <f>A39+'Ballistics Table'!$S$8</f>
        <v>2023.9000000000012</v>
      </c>
      <c r="B40" s="49">
        <f>TRUNC(Calculations!S46+(-Calculations!M46-SQRT(Calculations!M46^2-4*Calculations!N46*(Calculations!L46-Calculations!J46)))/(2*Calculations!N46))</f>
        <v>801</v>
      </c>
      <c r="C40" s="85">
        <f>TRUNC(B40^2*'Ballistics Table'!$S$5/450400.1)</f>
        <v>237</v>
      </c>
      <c r="D40" s="89">
        <f>-12*Calculations!U46*Calculations!T46^2</f>
        <v>-3227.0303398724486</v>
      </c>
      <c r="E40" s="97">
        <f>D40-'Ballistics Table'!$S$11+((A40/100)*Calculations!$B$6)</f>
        <v>-3140.059234852492</v>
      </c>
      <c r="F40" s="95">
        <f>IF(A40&gt;0,SUM(('Ballistics Table'!E40/'Ballistics Table'!$S$13)/(A40/100)),0)</f>
        <v>-148.18427125612496</v>
      </c>
      <c r="G40" s="78">
        <f>IF(A40&gt;0,ABS(SUM(F40/'Ballistics Table'!$S$12)),0)</f>
        <v>43.07682303957121</v>
      </c>
      <c r="H40" s="62">
        <f t="shared" si="0"/>
        <v>8.232189940305659</v>
      </c>
      <c r="I40" s="50">
        <f>ABS(($J$1*35.2)*(Calculations!T46-(3*A40)/'Ballistics Table'!$S$4))/2</f>
        <v>529.2051454800774</v>
      </c>
      <c r="J40" s="83">
        <f>IF(I40&gt;0,SUM((I40/'Ballistics Table'!$S$13)/(A40/100)),0)</f>
        <v>24.974012578345747</v>
      </c>
      <c r="K40" s="62">
        <f>SUM(J40/'Ballistics Table'!$S$12)</f>
        <v>7.2598873774260895</v>
      </c>
      <c r="L40" s="52">
        <f>ABS(D40)-(ABS(D40)*COS('Ballistics Table'!$S$17*PI()/180))</f>
        <v>0</v>
      </c>
      <c r="M40" s="53">
        <f>SUM(((A40-A39)*3)/'Ballistics Table'!B40)+M39</f>
        <v>4.9310294163667985</v>
      </c>
      <c r="N40" s="81">
        <f>IF(A40&gt;0,(((M40*('Ballistics Table'!$S$18*(1.466*12)))-'Ballistics Table'!$S$19)/((A40/100)*'Ballistics Table'!$S$12)),0)</f>
        <v>0</v>
      </c>
      <c r="O40" s="54">
        <f>(M40*('Ballistics Table'!$S$18*(1.466*12)))-'Ballistics Table'!$S$19</f>
        <v>0</v>
      </c>
    </row>
    <row r="41" spans="1:15" ht="12.75">
      <c r="A41" s="55">
        <f>A40+'Ballistics Table'!$S$8</f>
        <v>2078.6000000000013</v>
      </c>
      <c r="B41" s="56">
        <f>TRUNC(Calculations!S47+(-Calculations!M47-SQRT(Calculations!M47^2-4*Calculations!N47*(Calculations!L47-Calculations!J47)))/(2*Calculations!N47))</f>
        <v>789</v>
      </c>
      <c r="C41" s="86">
        <f>TRUNC(B41^2*'Ballistics Table'!$S$5/450400.1)</f>
        <v>230</v>
      </c>
      <c r="D41" s="90">
        <f>-12*Calculations!U47*Calculations!T47^2</f>
        <v>-3483.698480628958</v>
      </c>
      <c r="E41" s="43">
        <f>D41-'Ballistics Table'!$S$11+((A41/100)*Calculations!$B$6)</f>
        <v>-3394.323602393948</v>
      </c>
      <c r="F41" s="94">
        <f>IF(A41&gt;0,SUM(('Ballistics Table'!E41/'Ballistics Table'!$S$13)/(A41/100)),0)</f>
        <v>-155.96804891516717</v>
      </c>
      <c r="G41" s="77">
        <f>IF(A41&gt;0,ABS(SUM(F41/'Ballistics Table'!$S$12)),0)</f>
        <v>45.33954910324627</v>
      </c>
      <c r="H41" s="63">
        <f t="shared" si="0"/>
        <v>7.783777659042215</v>
      </c>
      <c r="I41" s="57">
        <f>ABS(($J$1*35.2)*(Calculations!T47-(3*A41)/'Ballistics Table'!$S$4))/2</f>
        <v>556.4956765265391</v>
      </c>
      <c r="J41" s="82">
        <f>IF(I41&gt;0,SUM((I41/'Ballistics Table'!$S$13)/(A41/100)),0)</f>
        <v>25.570792612806617</v>
      </c>
      <c r="K41" s="63">
        <f>SUM(J41/'Ballistics Table'!$S$12)</f>
        <v>7.433369945583319</v>
      </c>
      <c r="L41" s="59">
        <f>ABS(D41)-(ABS(D41)*COS('Ballistics Table'!$S$17*PI()/180))</f>
        <v>0</v>
      </c>
      <c r="M41" s="60">
        <f>SUM(((A41-A40)*3)/'Ballistics Table'!B41)+M40</f>
        <v>5.139014207241323</v>
      </c>
      <c r="N41" s="80">
        <f>IF(A41&gt;0,(((M41*('Ballistics Table'!$S$18*(1.466*12)))-'Ballistics Table'!$S$19)/((A41/100)*'Ballistics Table'!$S$12)),0)</f>
        <v>0</v>
      </c>
      <c r="O41" s="61">
        <f>(M41*('Ballistics Table'!$S$18*(1.466*12)))-'Ballistics Table'!$S$19</f>
        <v>0</v>
      </c>
    </row>
    <row r="42" spans="1:15" ht="12.75">
      <c r="A42" s="48">
        <f>A41+'Ballistics Table'!$S$8</f>
        <v>2133.300000000001</v>
      </c>
      <c r="B42" s="49">
        <f>TRUNC(Calculations!S48+(-Calculations!M48-SQRT(Calculations!M48^2-4*Calculations!N48*(Calculations!L48-Calculations!J48)))/(2*Calculations!N48))</f>
        <v>777</v>
      </c>
      <c r="C42" s="85">
        <f>TRUNC(B42^2*'Ballistics Table'!$S$5/450400.1)</f>
        <v>223</v>
      </c>
      <c r="D42" s="89">
        <f>-12*Calculations!U48*Calculations!T48^2</f>
        <v>-3765.4312153915253</v>
      </c>
      <c r="E42" s="97">
        <f>D42-'Ballistics Table'!$S$11+((A42/100)*Calculations!$B$6)</f>
        <v>-3673.652563941462</v>
      </c>
      <c r="F42" s="95">
        <f>IF(A42&gt;0,SUM(('Ballistics Table'!E42/'Ballistics Table'!$S$13)/(A42/100)),0)</f>
        <v>-164.47483728777192</v>
      </c>
      <c r="G42" s="78">
        <f>IF(A42&gt;0,ABS(SUM(F42/'Ballistics Table'!$S$12)),0)</f>
        <v>47.8124526999337</v>
      </c>
      <c r="H42" s="62">
        <f t="shared" si="0"/>
        <v>8.506788372604746</v>
      </c>
      <c r="I42" s="50">
        <f>ABS(($J$1*35.2)*(Calculations!T48-(3*A42)/'Ballistics Table'!$S$4))/2</f>
        <v>586.0130440260124</v>
      </c>
      <c r="J42" s="83">
        <f>IF(I42&gt;0,SUM((I42/'Ballistics Table'!$S$13)/(A42/100)),0)</f>
        <v>26.23666729149789</v>
      </c>
      <c r="K42" s="62">
        <f>SUM(J42/'Ballistics Table'!$S$12)</f>
        <v>7.626938166133108</v>
      </c>
      <c r="L42" s="52">
        <f>ABS(D42)-(ABS(D42)*COS('Ballistics Table'!$S$17*PI()/180))</f>
        <v>0</v>
      </c>
      <c r="M42" s="53">
        <f>SUM(((A42-A41)*3)/'Ballistics Table'!B42)+M41</f>
        <v>5.350211118438233</v>
      </c>
      <c r="N42" s="81">
        <f>IF(A42&gt;0,(((M42*('Ballistics Table'!$S$18*(1.466*12)))-'Ballistics Table'!$S$19)/((A42/100)*'Ballistics Table'!$S$12)),0)</f>
        <v>0</v>
      </c>
      <c r="O42" s="54">
        <f>(M42*('Ballistics Table'!$S$18*(1.466*12)))-'Ballistics Table'!$S$19</f>
        <v>0</v>
      </c>
    </row>
    <row r="43" spans="1:15" ht="13.5" thickBot="1">
      <c r="A43" s="64">
        <f>A42+'Ballistics Table'!$S$8</f>
        <v>2188.000000000001</v>
      </c>
      <c r="B43" s="65">
        <f>TRUNC(Calculations!S49+(-Calculations!M49-SQRT(Calculations!M49^2-4*Calculations!N49*(Calculations!L49-Calculations!J49)))/(2*Calculations!N49))</f>
        <v>765</v>
      </c>
      <c r="C43" s="87">
        <f>TRUNC(B43^2*'Ballistics Table'!$S$5/450400.1)</f>
        <v>216</v>
      </c>
      <c r="D43" s="91">
        <f>-12*Calculations!U49*Calculations!T49^2</f>
        <v>-4069.0939004723086</v>
      </c>
      <c r="E43" s="43">
        <f>D43-'Ballistics Table'!$S$11+((A43/100)*Calculations!$B$6)</f>
        <v>-3974.9114758071923</v>
      </c>
      <c r="F43" s="94">
        <f>IF(A43&gt;0,SUM(('Ballistics Table'!E43/'Ballistics Table'!$S$13)/(A43/100)),0)</f>
        <v>-173.51357651997748</v>
      </c>
      <c r="G43" s="77">
        <f>IF(A43&gt;0,ABS(SUM(F43/'Ballistics Table'!$S$12)),0)</f>
        <v>50.43999317441206</v>
      </c>
      <c r="H43" s="67">
        <f t="shared" si="0"/>
        <v>9.038739232205558</v>
      </c>
      <c r="I43" s="66">
        <f>ABS(($J$1*35.2)*(Calculations!T49-(3*A43)/'Ballistics Table'!$S$4))/2</f>
        <v>617.1204253744316</v>
      </c>
      <c r="J43" s="82">
        <f>IF(I43&gt;0,SUM((I43/'Ballistics Table'!$S$13)/(A43/100)),0)</f>
        <v>26.938655817109186</v>
      </c>
      <c r="K43" s="67">
        <f>SUM(J43/'Ballistics Table'!$S$12)</f>
        <v>7.8310045979968566</v>
      </c>
      <c r="L43" s="59">
        <f>ABS(D43)-(ABS(D43)*COS('Ballistics Table'!$S$17*PI()/180))</f>
        <v>0</v>
      </c>
      <c r="M43" s="68">
        <f>SUM(((A43-A42)*3)/'Ballistics Table'!B43)+M42</f>
        <v>5.564720922359801</v>
      </c>
      <c r="N43" s="80">
        <f>IF(A43&gt;0,(((M43*('Ballistics Table'!$S$18*(1.466*12)))-'Ballistics Table'!$S$19)/((A43/100)*'Ballistics Table'!$S$12)),0)</f>
        <v>0</v>
      </c>
      <c r="O43" s="61">
        <f>(M43*('Ballistics Table'!$S$18*(1.466*12)))-'Ballistics Table'!$S$19</f>
        <v>0</v>
      </c>
    </row>
    <row r="44" spans="1:15" ht="12.75">
      <c r="A44" s="31" t="s">
        <v>26</v>
      </c>
      <c r="B44" s="32" t="s">
        <v>38</v>
      </c>
      <c r="C44" s="33" t="s">
        <v>25</v>
      </c>
      <c r="D44" s="92" t="s">
        <v>27</v>
      </c>
      <c r="E44" s="29" t="s">
        <v>24</v>
      </c>
      <c r="F44" s="32" t="s">
        <v>24</v>
      </c>
      <c r="G44" s="27" t="s">
        <v>24</v>
      </c>
      <c r="H44" s="33" t="s">
        <v>60</v>
      </c>
      <c r="I44" s="92" t="s">
        <v>41</v>
      </c>
      <c r="J44" s="99">
        <f>SUM('Ballistics Table'!S15)</f>
        <v>11.184681460272012</v>
      </c>
      <c r="K44" s="98" t="s">
        <v>30</v>
      </c>
      <c r="L44" s="28" t="s">
        <v>57</v>
      </c>
      <c r="M44" s="26" t="s">
        <v>32</v>
      </c>
      <c r="N44" s="101" t="s">
        <v>62</v>
      </c>
      <c r="O44" s="103">
        <f>'Ballistics Table'!S19</f>
        <v>0</v>
      </c>
    </row>
    <row r="45" spans="1:15" ht="13.5" thickBot="1">
      <c r="A45" s="34" t="s">
        <v>21</v>
      </c>
      <c r="B45" s="35" t="s">
        <v>22</v>
      </c>
      <c r="C45" s="36" t="s">
        <v>23</v>
      </c>
      <c r="D45" s="93" t="s">
        <v>24</v>
      </c>
      <c r="E45" s="38" t="s">
        <v>34</v>
      </c>
      <c r="F45" s="35" t="s">
        <v>28</v>
      </c>
      <c r="G45" s="37" t="s">
        <v>33</v>
      </c>
      <c r="H45" s="36" t="s">
        <v>28</v>
      </c>
      <c r="I45" s="38" t="s">
        <v>31</v>
      </c>
      <c r="J45" s="37" t="s">
        <v>28</v>
      </c>
      <c r="K45" s="39" t="s">
        <v>33</v>
      </c>
      <c r="L45" s="40" t="str">
        <f>CONCATENATE('Ballistics Table'!S17," Deg")</f>
        <v> Deg</v>
      </c>
      <c r="M45" s="30" t="s">
        <v>39</v>
      </c>
      <c r="N45" s="38" t="s">
        <v>33</v>
      </c>
      <c r="O45" s="39" t="s">
        <v>34</v>
      </c>
    </row>
    <row r="46" spans="14:15" ht="12.75">
      <c r="N46" s="100" t="s">
        <v>40</v>
      </c>
      <c r="O46" s="102">
        <f>'Ballistics Table'!S18</f>
        <v>0</v>
      </c>
    </row>
  </sheetData>
  <sheetProtection/>
  <printOptions/>
  <pageMargins left="0.787401575" right="0.787401575" top="0.984251969" bottom="0.984251969" header="0.5" footer="0.5"/>
  <pageSetup horizontalDpi="1200" verticalDpi="1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Z13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1.50390625" style="0" customWidth="1"/>
    <col min="2" max="2" width="10.875" style="0" bestFit="1" customWidth="1"/>
    <col min="3" max="16" width="9.00390625" style="0" customWidth="1"/>
    <col min="17" max="17" width="11.875" style="0" bestFit="1" customWidth="1"/>
  </cols>
  <sheetData>
    <row r="1" spans="1:26" ht="1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">
      <c r="A3" s="9" t="s">
        <v>37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>
      <c r="A5" s="69" t="s">
        <v>4</v>
      </c>
      <c r="B5" s="70">
        <f>ABS(VLOOKUP('Ballistics Table'!S14,'Ballistics Table'!A3:D43,4))</f>
        <v>2.839042493098322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9"/>
      <c r="W5" s="9"/>
      <c r="X5" s="9"/>
      <c r="Y5" s="9"/>
      <c r="Z5" s="9"/>
    </row>
    <row r="6" spans="1:26" ht="12.75">
      <c r="A6" s="69" t="s">
        <v>5</v>
      </c>
      <c r="B6" s="70">
        <f>($B$5+'Ballistics Table'!$S$11)/('Ballistics Table'!$S$14/100)/1</f>
        <v>4.394466572309137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9"/>
      <c r="W6" s="9"/>
      <c r="X6" s="9"/>
      <c r="Y6" s="9"/>
      <c r="Z6" s="9"/>
    </row>
    <row r="7" spans="1:26" ht="12">
      <c r="A7" s="71" t="s">
        <v>982</v>
      </c>
      <c r="B7" s="11"/>
      <c r="C7" s="11"/>
      <c r="D7" s="71" t="s">
        <v>983</v>
      </c>
      <c r="E7" s="71" t="s">
        <v>984</v>
      </c>
      <c r="F7" s="71" t="s">
        <v>985</v>
      </c>
      <c r="G7" s="11"/>
      <c r="H7" s="11"/>
      <c r="I7" s="11"/>
      <c r="J7" s="71" t="s">
        <v>986</v>
      </c>
      <c r="K7" s="71"/>
      <c r="L7" s="11"/>
      <c r="M7" s="11"/>
      <c r="N7" s="11"/>
      <c r="O7" s="71" t="s">
        <v>987</v>
      </c>
      <c r="P7" s="71" t="s">
        <v>984</v>
      </c>
      <c r="Q7" s="71" t="s">
        <v>988</v>
      </c>
      <c r="R7" s="11"/>
      <c r="S7" s="11"/>
      <c r="T7" s="11"/>
      <c r="U7" s="11"/>
      <c r="V7" s="9"/>
      <c r="W7" s="9"/>
      <c r="X7" s="9"/>
      <c r="Y7" s="9"/>
      <c r="Z7" s="9"/>
    </row>
    <row r="8" spans="1:26" ht="12">
      <c r="A8" s="71" t="s">
        <v>989</v>
      </c>
      <c r="B8" s="71" t="s">
        <v>990</v>
      </c>
      <c r="C8" s="71" t="s">
        <v>991</v>
      </c>
      <c r="D8" s="71" t="s">
        <v>992</v>
      </c>
      <c r="E8" s="71" t="s">
        <v>993</v>
      </c>
      <c r="F8" s="71" t="s">
        <v>994</v>
      </c>
      <c r="G8" s="71" t="s">
        <v>995</v>
      </c>
      <c r="H8" s="71" t="s">
        <v>996</v>
      </c>
      <c r="I8" s="71" t="s">
        <v>997</v>
      </c>
      <c r="J8" s="71" t="s">
        <v>0</v>
      </c>
      <c r="K8" s="71"/>
      <c r="L8" s="71" t="s">
        <v>992</v>
      </c>
      <c r="M8" s="71" t="s">
        <v>993</v>
      </c>
      <c r="N8" s="71" t="s">
        <v>994</v>
      </c>
      <c r="O8" s="71" t="s">
        <v>995</v>
      </c>
      <c r="P8" s="71" t="s">
        <v>996</v>
      </c>
      <c r="Q8" s="71" t="s">
        <v>997</v>
      </c>
      <c r="R8" s="71" t="s">
        <v>1</v>
      </c>
      <c r="S8" s="71" t="s">
        <v>991</v>
      </c>
      <c r="T8" s="71" t="s">
        <v>2</v>
      </c>
      <c r="U8" s="71" t="s">
        <v>3</v>
      </c>
      <c r="V8" s="9"/>
      <c r="W8" s="9"/>
      <c r="X8" s="9"/>
      <c r="Y8" s="9"/>
      <c r="Z8" s="9"/>
    </row>
    <row r="9" spans="1:26" ht="12">
      <c r="A9" s="11">
        <v>43041</v>
      </c>
      <c r="B9" s="11">
        <f aca="true" t="shared" si="0" ref="B9:B30">1/A9</f>
        <v>2.323366092795242E-05</v>
      </c>
      <c r="C9" s="11">
        <v>350</v>
      </c>
      <c r="D9" s="11">
        <v>39663.2</v>
      </c>
      <c r="E9" s="11">
        <v>-63.768</v>
      </c>
      <c r="F9" s="11">
        <v>0.0758391</v>
      </c>
      <c r="G9" s="11">
        <v>49.669</v>
      </c>
      <c r="H9" s="11">
        <v>-0.1845</v>
      </c>
      <c r="I9" s="11">
        <v>0.000482396</v>
      </c>
      <c r="J9" s="11">
        <f>$F$35+3*'Ballistics Table'!A3/('Ballistics Table'!$S$6/$F$36)</f>
        <v>7366.354802441758</v>
      </c>
      <c r="K9" s="11"/>
      <c r="L9" s="11">
        <f>VLOOKUP($S$9,$C$9:$I$30,2)</f>
        <v>7492.73</v>
      </c>
      <c r="M9" s="11">
        <f>VLOOKUP($S$9,$C$9:$I$30,3)</f>
        <v>-3.26733</v>
      </c>
      <c r="N9" s="11">
        <f>VLOOKUP($S$9,$C$9:$I$30,4)</f>
        <v>0.000371407</v>
      </c>
      <c r="O9" s="11">
        <f>VLOOKUP($S$9,$C$9:$I$30,5)</f>
        <v>1.88267</v>
      </c>
      <c r="P9" s="11">
        <f>VLOOKUP($S$9,$C$9:$I$30,6)</f>
        <v>-0.0011924</v>
      </c>
      <c r="Q9" s="11">
        <f>VLOOKUP($S$9,$C$9:$I$30,7)</f>
        <v>3.52828E-07</v>
      </c>
      <c r="R9" s="11">
        <f>O9+P9*('Ballistics Table'!B3-S9)+Q9*('Ballistics Table'!B3-S9)^2</f>
        <v>1.8378682836320002</v>
      </c>
      <c r="S9" s="11">
        <f>VLOOKUP(1.1*'Ballistics Table'!$S$4,$C$9:$I$30,1)</f>
        <v>2750</v>
      </c>
      <c r="T9" s="11">
        <f>('Ballistics Table'!$S$6/$F$36)*(R9-$F$34)</f>
        <v>0.0004657323632720622</v>
      </c>
      <c r="U9" s="11">
        <f>14.0069+6.59285*(('Ballistics Table'!B3/'Ballistics Table'!$S$4)-0.65)-1.94051*(('Ballistics Table'!B3/'Ballistics Table'!$S$4)-0.65)^2</f>
        <v>16.07508944912722</v>
      </c>
      <c r="V9" s="9"/>
      <c r="W9" s="9"/>
      <c r="X9" s="9"/>
      <c r="Y9" s="9"/>
      <c r="Z9" s="9"/>
    </row>
    <row r="10" spans="1:26" ht="12">
      <c r="A10" s="11">
        <v>36664.2</v>
      </c>
      <c r="B10" s="11">
        <f t="shared" si="0"/>
        <v>2.7274562106905374E-05</v>
      </c>
      <c r="C10" s="11">
        <v>450</v>
      </c>
      <c r="D10" s="11">
        <v>33958.1</v>
      </c>
      <c r="E10" s="11">
        <v>-51.756</v>
      </c>
      <c r="F10" s="11">
        <v>0.0473157</v>
      </c>
      <c r="G10" s="11">
        <v>35.269</v>
      </c>
      <c r="H10" s="11">
        <v>-0.115879</v>
      </c>
      <c r="I10" s="11">
        <v>0.000234824</v>
      </c>
      <c r="J10" s="11">
        <f>$F$35+3*'Ballistics Table'!A4/('Ballistics Table'!$S$6/$F$36)</f>
        <v>7715.353099541905</v>
      </c>
      <c r="K10" s="11"/>
      <c r="L10" s="11">
        <f>VLOOKUP(1/J9,$B$9:$I$30,3)</f>
        <v>7492.73</v>
      </c>
      <c r="M10" s="11">
        <f>VLOOKUP(1/J9,$B$9:$I$30,4)</f>
        <v>-3.26733</v>
      </c>
      <c r="N10" s="11">
        <f>VLOOKUP(1/J9,$B$9:$I$30,5)</f>
        <v>0.000371407</v>
      </c>
      <c r="O10" s="11">
        <f>VLOOKUP(1/J9,$B$9:$I$30,6)</f>
        <v>1.88267</v>
      </c>
      <c r="P10" s="11">
        <f>VLOOKUP(1/J9,$B$9:$I$30,7)</f>
        <v>-0.0011924</v>
      </c>
      <c r="Q10" s="11">
        <f>VLOOKUP(1/J9,$B$9:$I$30,8)</f>
        <v>3.52828E-07</v>
      </c>
      <c r="R10" s="11">
        <f>O10+P10*('Ballistics Table'!B4-S10)+Q10*('Ballistics Table'!B4-S10)^2</f>
        <v>1.965384676672</v>
      </c>
      <c r="S10" s="11">
        <f>VLOOKUP(1/J9,$B$9:$I$30,2)</f>
        <v>2750</v>
      </c>
      <c r="T10" s="11">
        <f>('Ballistics Table'!$S$6/$F$36)*(R10-$F$34)</f>
        <v>0.06042430600599469</v>
      </c>
      <c r="U10" s="11">
        <f>14.0069+6.59285*(('Ballistics Table'!B4/'Ballistics Table'!$S$4)-0.65)-1.94051*(('Ballistics Table'!B4/'Ballistics Table'!$S$4)-0.65)^2</f>
        <v>15.873285922485659</v>
      </c>
      <c r="V10" s="9"/>
      <c r="W10" s="9"/>
      <c r="X10" s="9"/>
      <c r="Y10" s="9"/>
      <c r="Z10" s="9"/>
    </row>
    <row r="11" spans="1:26" ht="12">
      <c r="A11" s="11">
        <v>31488.6</v>
      </c>
      <c r="B11" s="11">
        <f t="shared" si="0"/>
        <v>3.1757524945535846E-05</v>
      </c>
      <c r="C11" s="11">
        <v>550</v>
      </c>
      <c r="D11" s="11">
        <v>29218.7</v>
      </c>
      <c r="E11" s="11">
        <v>-43.64</v>
      </c>
      <c r="F11" s="11">
        <v>0.035161</v>
      </c>
      <c r="G11" s="11">
        <v>25.7322</v>
      </c>
      <c r="H11" s="11">
        <v>-0.079629</v>
      </c>
      <c r="I11" s="11">
        <v>0.000136695</v>
      </c>
      <c r="J11" s="11">
        <f>$F$35+3*'Ballistics Table'!A5/('Ballistics Table'!$S$6/$F$36)</f>
        <v>8064.351396642052</v>
      </c>
      <c r="K11" s="11"/>
      <c r="L11" s="11">
        <f aca="true" t="shared" si="1" ref="L11:L50">VLOOKUP(1/J10,$B$9:$I$30,3)</f>
        <v>7492.73</v>
      </c>
      <c r="M11" s="11">
        <f aca="true" t="shared" si="2" ref="M11:M50">VLOOKUP(1/J10,$B$9:$I$30,4)</f>
        <v>-3.26733</v>
      </c>
      <c r="N11" s="11">
        <f aca="true" t="shared" si="3" ref="N11:N50">VLOOKUP(1/J10,$B$9:$I$30,5)</f>
        <v>0.000371407</v>
      </c>
      <c r="O11" s="11">
        <f aca="true" t="shared" si="4" ref="O11:O50">VLOOKUP(1/J10,$B$9:$I$30,6)</f>
        <v>1.88267</v>
      </c>
      <c r="P11" s="11">
        <f aca="true" t="shared" si="5" ref="P11:P50">VLOOKUP(1/J10,$B$9:$I$30,7)</f>
        <v>-0.0011924</v>
      </c>
      <c r="Q11" s="11">
        <f aca="true" t="shared" si="6" ref="Q11:Q50">VLOOKUP(1/J10,$B$9:$I$30,8)</f>
        <v>3.52828E-07</v>
      </c>
      <c r="R11" s="11">
        <f>O11+P11*('Ballistics Table'!B5-S11)+Q11*('Ballistics Table'!B5-S11)^2</f>
        <v>2.098200863552</v>
      </c>
      <c r="S11" s="11">
        <f aca="true" t="shared" si="7" ref="S11:S50">VLOOKUP(1/J10,$B$9:$I$30,2)</f>
        <v>2750</v>
      </c>
      <c r="T11" s="11">
        <f>('Ballistics Table'!$S$6/$F$36)*(R11-$F$34)</f>
        <v>0.1228748579086985</v>
      </c>
      <c r="U11" s="11">
        <f>14.0069+6.59285*(('Ballistics Table'!B5/'Ballistics Table'!$S$4)-0.65)-1.94051*(('Ballistics Table'!B5/'Ballistics Table'!$S$4)-0.65)^2</f>
        <v>15.669840992000669</v>
      </c>
      <c r="V11" s="9"/>
      <c r="W11" s="9"/>
      <c r="X11" s="9"/>
      <c r="Y11" s="9"/>
      <c r="Z11" s="9"/>
    </row>
    <row r="12" spans="1:26" ht="12">
      <c r="A12" s="11">
        <v>27124.6</v>
      </c>
      <c r="B12" s="11">
        <f t="shared" si="0"/>
        <v>3.686690310640526E-05</v>
      </c>
      <c r="C12" s="11">
        <v>650</v>
      </c>
      <c r="D12" s="11">
        <v>25192</v>
      </c>
      <c r="E12" s="11">
        <v>-37.095</v>
      </c>
      <c r="F12" s="11">
        <v>0.0311391</v>
      </c>
      <c r="G12" s="11">
        <v>18.9904</v>
      </c>
      <c r="H12" s="11">
        <v>-0.057305</v>
      </c>
      <c r="I12" s="11">
        <v>9.20586E-05</v>
      </c>
      <c r="J12" s="11">
        <f>$F$35+3*'Ballistics Table'!A6/('Ballistics Table'!$S$6/$F$36)</f>
        <v>8413.3496937422</v>
      </c>
      <c r="K12" s="11"/>
      <c r="L12" s="11">
        <f t="shared" si="1"/>
        <v>7492.73</v>
      </c>
      <c r="M12" s="11">
        <f t="shared" si="2"/>
        <v>-3.26733</v>
      </c>
      <c r="N12" s="11">
        <f t="shared" si="3"/>
        <v>0.000371407</v>
      </c>
      <c r="O12" s="11">
        <f t="shared" si="4"/>
        <v>1.88267</v>
      </c>
      <c r="P12" s="11">
        <f t="shared" si="5"/>
        <v>-0.0011924</v>
      </c>
      <c r="Q12" s="11">
        <f t="shared" si="6"/>
        <v>3.52828E-07</v>
      </c>
      <c r="R12" s="11">
        <f>O12+P12*('Ballistics Table'!B6-S12)+Q12*('Ballistics Table'!B6-S12)^2</f>
        <v>2.235876514928</v>
      </c>
      <c r="S12" s="11">
        <f t="shared" si="7"/>
        <v>2750</v>
      </c>
      <c r="T12" s="11">
        <f>('Ballistics Table'!$S$6/$F$36)*(R12-$F$34)</f>
        <v>0.1876103439512522</v>
      </c>
      <c r="U12" s="11">
        <f>14.0069+6.59285*(('Ballistics Table'!B6/'Ballistics Table'!$S$4)-0.65)-1.94051*(('Ballistics Table'!B6/'Ballistics Table'!$S$4)-0.65)^2</f>
        <v>15.465066030103891</v>
      </c>
      <c r="V12" s="9"/>
      <c r="W12" s="9"/>
      <c r="X12" s="9"/>
      <c r="Y12" s="9"/>
      <c r="Z12" s="9"/>
    </row>
    <row r="13" spans="1:26" ht="12">
      <c r="A13" s="11">
        <v>23415.1</v>
      </c>
      <c r="B13" s="11">
        <f t="shared" si="0"/>
        <v>4.27074836323569E-05</v>
      </c>
      <c r="C13" s="11">
        <v>750</v>
      </c>
      <c r="D13" s="11">
        <v>21792</v>
      </c>
      <c r="E13" s="11">
        <v>-30.896</v>
      </c>
      <c r="F13" s="11">
        <v>0.0313196</v>
      </c>
      <c r="G13" s="11">
        <v>14.1144</v>
      </c>
      <c r="H13" s="11">
        <v>-0.041349</v>
      </c>
      <c r="I13" s="11">
        <v>6.9381E-05</v>
      </c>
      <c r="J13" s="11">
        <f>$F$35+3*'Ballistics Table'!A7/('Ballistics Table'!$S$6/$F$36)</f>
        <v>8762.347990842347</v>
      </c>
      <c r="K13" s="11"/>
      <c r="L13" s="11">
        <f t="shared" si="1"/>
        <v>9222.059</v>
      </c>
      <c r="M13" s="11">
        <f t="shared" si="2"/>
        <v>-3.66916</v>
      </c>
      <c r="N13" s="11">
        <f t="shared" si="3"/>
        <v>0.00045401</v>
      </c>
      <c r="O13" s="11">
        <f t="shared" si="4"/>
        <v>2.57801</v>
      </c>
      <c r="P13" s="11">
        <f t="shared" si="5"/>
        <v>-0.00163915</v>
      </c>
      <c r="Q13" s="11">
        <f t="shared" si="6"/>
        <v>5.68494E-07</v>
      </c>
      <c r="R13" s="11">
        <f>O13+P13*('Ballistics Table'!B7-S13)+Q13*('Ballistics Table'!B7-S13)^2</f>
        <v>2.379007189726</v>
      </c>
      <c r="S13" s="11">
        <f t="shared" si="7"/>
        <v>2250</v>
      </c>
      <c r="T13" s="11">
        <f>('Ballistics Table'!$S$6/$F$36)*(R13-$F$34)</f>
        <v>0.2549107976483424</v>
      </c>
      <c r="U13" s="11">
        <f>14.0069+6.59285*(('Ballistics Table'!B7/'Ballistics Table'!$S$4)-0.65)-1.94051*(('Ballistics Table'!B7/'Ballistics Table'!$S$4)-0.65)^2</f>
        <v>15.2613491176006</v>
      </c>
      <c r="V13" s="9"/>
      <c r="W13" s="9"/>
      <c r="X13" s="9"/>
      <c r="Y13" s="9"/>
      <c r="Z13" s="9"/>
    </row>
    <row r="14" spans="1:26" ht="12">
      <c r="A14" s="11">
        <v>20325.5</v>
      </c>
      <c r="B14" s="11">
        <f t="shared" si="0"/>
        <v>4.9199281690487316E-05</v>
      </c>
      <c r="C14" s="11">
        <v>850</v>
      </c>
      <c r="D14" s="11">
        <v>19020.1</v>
      </c>
      <c r="E14" s="11">
        <v>-24.4588</v>
      </c>
      <c r="F14" s="11">
        <v>0.0330303</v>
      </c>
      <c r="G14" s="11">
        <v>10.6366</v>
      </c>
      <c r="H14" s="11">
        <v>-0.0288527</v>
      </c>
      <c r="I14" s="11">
        <v>5.58719E-05</v>
      </c>
      <c r="J14" s="11">
        <f>$F$35+3*'Ballistics Table'!A8/('Ballistics Table'!$S$6/$F$36)</f>
        <v>9111.346287942495</v>
      </c>
      <c r="K14" s="11"/>
      <c r="L14" s="11">
        <f t="shared" si="1"/>
        <v>9222.059</v>
      </c>
      <c r="M14" s="11">
        <f t="shared" si="2"/>
        <v>-3.66916</v>
      </c>
      <c r="N14" s="11">
        <f t="shared" si="3"/>
        <v>0.00045401</v>
      </c>
      <c r="O14" s="11">
        <f t="shared" si="4"/>
        <v>2.57801</v>
      </c>
      <c r="P14" s="11">
        <f t="shared" si="5"/>
        <v>-0.00163915</v>
      </c>
      <c r="Q14" s="11">
        <f t="shared" si="6"/>
        <v>5.68494E-07</v>
      </c>
      <c r="R14" s="11">
        <f>O14+P14*('Ballistics Table'!B8-S14)+Q14*('Ballistics Table'!B8-S14)^2</f>
        <v>2.5293471446</v>
      </c>
      <c r="S14" s="11">
        <f t="shared" si="7"/>
        <v>2250</v>
      </c>
      <c r="T14" s="11">
        <f>('Ballistics Table'!$S$6/$F$36)*(R14-$F$34)</f>
        <v>0.32560107550876405</v>
      </c>
      <c r="U14" s="11">
        <f>14.0069+6.59285*(('Ballistics Table'!B8/'Ballistics Table'!$S$4)-0.65)-1.94051*(('Ballistics Table'!B8/'Ballistics Table'!$S$4)-0.65)^2</f>
        <v>15.05700425863955</v>
      </c>
      <c r="V14" s="9"/>
      <c r="W14" s="9"/>
      <c r="X14" s="9"/>
      <c r="Y14" s="9"/>
      <c r="Z14" s="9"/>
    </row>
    <row r="15" spans="1:26" ht="12">
      <c r="A15" s="11">
        <v>17879.9</v>
      </c>
      <c r="B15" s="11">
        <f t="shared" si="0"/>
        <v>5.592872443358184E-05</v>
      </c>
      <c r="C15" s="11">
        <v>950</v>
      </c>
      <c r="D15" s="11">
        <v>16906.5</v>
      </c>
      <c r="E15" s="11">
        <v>-17.8388</v>
      </c>
      <c r="F15" s="11">
        <v>0.0325134</v>
      </c>
      <c r="G15" s="11">
        <v>8.27886</v>
      </c>
      <c r="H15" s="11">
        <v>-0.01884</v>
      </c>
      <c r="I15" s="11">
        <v>4.41677E-05</v>
      </c>
      <c r="J15" s="11">
        <f>$F$35+3*'Ballistics Table'!A9/('Ballistics Table'!$S$6/$F$36)</f>
        <v>9460.344585042641</v>
      </c>
      <c r="K15" s="11"/>
      <c r="L15" s="11">
        <f t="shared" si="1"/>
        <v>9222.059</v>
      </c>
      <c r="M15" s="11">
        <f t="shared" si="2"/>
        <v>-3.66916</v>
      </c>
      <c r="N15" s="11">
        <f t="shared" si="3"/>
        <v>0.00045401</v>
      </c>
      <c r="O15" s="11">
        <f t="shared" si="4"/>
        <v>2.57801</v>
      </c>
      <c r="P15" s="11">
        <f t="shared" si="5"/>
        <v>-0.00163915</v>
      </c>
      <c r="Q15" s="11">
        <f t="shared" si="6"/>
        <v>5.68494E-07</v>
      </c>
      <c r="R15" s="11">
        <f>O15+P15*('Ballistics Table'!B9-S15)+Q15*('Ballistics Table'!B9-S15)^2</f>
        <v>2.6869566371499998</v>
      </c>
      <c r="S15" s="11">
        <f t="shared" si="7"/>
        <v>2250</v>
      </c>
      <c r="T15" s="11">
        <f>('Ballistics Table'!$S$6/$F$36)*(R15-$F$34)</f>
        <v>0.3997095108288172</v>
      </c>
      <c r="U15" s="11">
        <f>14.0069+6.59285*(('Ballistics Table'!B9/'Ballistics Table'!$S$4)-0.65)-1.94051*(('Ballistics Table'!B9/'Ballistics Table'!$S$4)-0.65)^2</f>
        <v>14.85232186789255</v>
      </c>
      <c r="V15" s="9"/>
      <c r="W15" s="9"/>
      <c r="X15" s="9"/>
      <c r="Y15" s="9"/>
      <c r="Z15" s="9"/>
    </row>
    <row r="16" spans="1:26" ht="12">
      <c r="A16" s="11">
        <v>16095.6</v>
      </c>
      <c r="B16" s="11">
        <f t="shared" si="0"/>
        <v>6.212878053629563E-05</v>
      </c>
      <c r="C16" s="11">
        <v>1025</v>
      </c>
      <c r="D16" s="11">
        <v>15747.2</v>
      </c>
      <c r="E16" s="11">
        <v>-13.2423</v>
      </c>
      <c r="F16" s="11">
        <v>0.0276581</v>
      </c>
      <c r="G16" s="11">
        <v>7.10211</v>
      </c>
      <c r="H16" s="11">
        <v>-0.0129298</v>
      </c>
      <c r="I16" s="11">
        <v>3.32035E-05</v>
      </c>
      <c r="J16" s="11">
        <f>$F$35+3*'Ballistics Table'!A10/('Ballistics Table'!$S$6/$F$36)</f>
        <v>9809.342882142788</v>
      </c>
      <c r="K16" s="11"/>
      <c r="L16" s="11">
        <f t="shared" si="1"/>
        <v>9222.059</v>
      </c>
      <c r="M16" s="11">
        <f t="shared" si="2"/>
        <v>-3.66916</v>
      </c>
      <c r="N16" s="11">
        <f t="shared" si="3"/>
        <v>0.00045401</v>
      </c>
      <c r="O16" s="11">
        <f t="shared" si="4"/>
        <v>2.57801</v>
      </c>
      <c r="P16" s="11">
        <f t="shared" si="5"/>
        <v>-0.00163915</v>
      </c>
      <c r="Q16" s="11">
        <f t="shared" si="6"/>
        <v>5.68494E-07</v>
      </c>
      <c r="R16" s="11">
        <f>O16+P16*('Ballistics Table'!B10-S16)+Q16*('Ballistics Table'!B10-S16)^2</f>
        <v>2.851187584216</v>
      </c>
      <c r="S16" s="11">
        <f t="shared" si="7"/>
        <v>2250</v>
      </c>
      <c r="T16" s="11">
        <f>('Ballistics Table'!$S$6/$F$36)*(R16-$F$34)</f>
        <v>0.4769313730483829</v>
      </c>
      <c r="U16" s="11">
        <f>14.0069+6.59285*(('Ballistics Table'!B10/'Ballistics Table'!$S$4)-0.65)-1.94051*(('Ballistics Table'!B10/'Ballistics Table'!$S$4)-0.65)^2</f>
        <v>14.647586372100044</v>
      </c>
      <c r="V16" s="9"/>
      <c r="W16" s="9"/>
      <c r="X16" s="9"/>
      <c r="Y16" s="9"/>
      <c r="Z16" s="9"/>
    </row>
    <row r="17" spans="1:26" ht="12">
      <c r="A17" s="11">
        <v>15433.3</v>
      </c>
      <c r="B17" s="11">
        <f t="shared" si="0"/>
        <v>6.479495636059689E-05</v>
      </c>
      <c r="C17" s="11">
        <v>1062.5</v>
      </c>
      <c r="D17" s="11">
        <v>15288.1</v>
      </c>
      <c r="E17" s="11">
        <v>-11.3183</v>
      </c>
      <c r="F17" s="11">
        <v>0.023346</v>
      </c>
      <c r="G17" s="11">
        <v>6.66207</v>
      </c>
      <c r="H17" s="11">
        <v>-0.0106524</v>
      </c>
      <c r="I17" s="11">
        <v>2.68757E-05</v>
      </c>
      <c r="J17" s="11">
        <f>$F$35+3*'Ballistics Table'!A11/('Ballistics Table'!$S$6/$F$36)</f>
        <v>10158.341179242936</v>
      </c>
      <c r="K17" s="11"/>
      <c r="L17" s="11">
        <f t="shared" si="1"/>
        <v>9222.059</v>
      </c>
      <c r="M17" s="11">
        <f t="shared" si="2"/>
        <v>-3.66916</v>
      </c>
      <c r="N17" s="11">
        <f t="shared" si="3"/>
        <v>0.00045401</v>
      </c>
      <c r="O17" s="11">
        <f t="shared" si="4"/>
        <v>2.57801</v>
      </c>
      <c r="P17" s="11">
        <f t="shared" si="5"/>
        <v>-0.00163915</v>
      </c>
      <c r="Q17" s="11">
        <f t="shared" si="6"/>
        <v>5.68494E-07</v>
      </c>
      <c r="R17" s="11">
        <f>O17+P17*('Ballistics Table'!B11-S17)+Q17*('Ballistics Table'!B11-S17)^2</f>
        <v>3.019483854976</v>
      </c>
      <c r="S17" s="11">
        <f t="shared" si="7"/>
        <v>2250</v>
      </c>
      <c r="T17" s="11">
        <f>('Ballistics Table'!$S$6/$F$36)*(R17-$F$34)</f>
        <v>0.556064762125611</v>
      </c>
      <c r="U17" s="11">
        <f>14.0069+6.59285*(('Ballistics Table'!B11/'Ballistics Table'!$S$4)-0.65)-1.94051*(('Ballistics Table'!B11/'Ballistics Table'!$S$4)-0.65)^2</f>
        <v>14.445346029231652</v>
      </c>
      <c r="V17" s="9"/>
      <c r="W17" s="9"/>
      <c r="X17" s="9"/>
      <c r="Y17" s="9"/>
      <c r="Z17" s="9"/>
    </row>
    <row r="18" spans="1:26" ht="12">
      <c r="A18" s="11">
        <v>15150.3</v>
      </c>
      <c r="B18" s="11">
        <f t="shared" si="0"/>
        <v>6.60052936245487E-05</v>
      </c>
      <c r="C18" s="11">
        <v>1087.5</v>
      </c>
      <c r="D18" s="11">
        <v>15019.2</v>
      </c>
      <c r="E18" s="11">
        <v>-10.2383</v>
      </c>
      <c r="F18" s="11">
        <v>0.0199585</v>
      </c>
      <c r="G18" s="11">
        <v>6.41183</v>
      </c>
      <c r="H18" s="11">
        <v>-0.00941688</v>
      </c>
      <c r="I18" s="11">
        <v>2.2611E-05</v>
      </c>
      <c r="J18" s="11">
        <f>$F$35+3*'Ballistics Table'!A12/('Ballistics Table'!$S$6/$F$36)</f>
        <v>10507.339476343084</v>
      </c>
      <c r="K18" s="11"/>
      <c r="L18" s="11">
        <f t="shared" si="1"/>
        <v>9222.059</v>
      </c>
      <c r="M18" s="11">
        <f t="shared" si="2"/>
        <v>-3.66916</v>
      </c>
      <c r="N18" s="11">
        <f t="shared" si="3"/>
        <v>0.00045401</v>
      </c>
      <c r="O18" s="11">
        <f t="shared" si="4"/>
        <v>2.57801</v>
      </c>
      <c r="P18" s="11">
        <f t="shared" si="5"/>
        <v>-0.00163915</v>
      </c>
      <c r="Q18" s="11">
        <f t="shared" si="6"/>
        <v>5.68494E-07</v>
      </c>
      <c r="R18" s="11">
        <f>O18+P18*('Ballistics Table'!B12-S18)+Q18*('Ballistics Table'!B12-S18)^2</f>
        <v>3.194966845086</v>
      </c>
      <c r="S18" s="11">
        <f t="shared" si="7"/>
        <v>2250</v>
      </c>
      <c r="T18" s="11">
        <f>('Ballistics Table'!$S$6/$F$36)*(R18-$F$34)</f>
        <v>0.6385773672481155</v>
      </c>
      <c r="U18" s="11">
        <f>14.0069+6.59285*(('Ballistics Table'!B12/'Ballistics Table'!$S$4)-0.65)-1.94051*(('Ballistics Table'!B12/'Ballistics Table'!$S$4)-0.65)^2</f>
        <v>14.241378062334979</v>
      </c>
      <c r="V18" s="9"/>
      <c r="W18" s="9"/>
      <c r="X18" s="9"/>
      <c r="Y18" s="9"/>
      <c r="Z18" s="9"/>
    </row>
    <row r="19" spans="1:26" ht="12">
      <c r="A19" s="11">
        <v>14894.3</v>
      </c>
      <c r="B19" s="11">
        <f t="shared" si="0"/>
        <v>6.713977830445204E-05</v>
      </c>
      <c r="C19" s="11">
        <v>1105</v>
      </c>
      <c r="D19" s="11">
        <v>14846</v>
      </c>
      <c r="E19" s="11">
        <v>-9.58136</v>
      </c>
      <c r="F19" s="11">
        <v>0.0164795</v>
      </c>
      <c r="G19" s="11">
        <v>6.25378</v>
      </c>
      <c r="H19" s="11">
        <v>-0.00866849</v>
      </c>
      <c r="I19" s="11">
        <v>2.0396E-05</v>
      </c>
      <c r="J19" s="11">
        <f>$F$35+3*'Ballistics Table'!A13/('Ballistics Table'!$S$6/$F$36)</f>
        <v>10856.33777344323</v>
      </c>
      <c r="K19" s="11"/>
      <c r="L19" s="11">
        <f t="shared" si="1"/>
        <v>11189.1</v>
      </c>
      <c r="M19" s="11">
        <f t="shared" si="2"/>
        <v>-4.31589</v>
      </c>
      <c r="N19" s="11">
        <f t="shared" si="3"/>
        <v>0.000960342</v>
      </c>
      <c r="O19" s="11">
        <f t="shared" si="4"/>
        <v>3.56969</v>
      </c>
      <c r="P19" s="11">
        <f t="shared" si="5"/>
        <v>-0.00249074</v>
      </c>
      <c r="Q19" s="11">
        <f t="shared" si="6"/>
        <v>1.27366E-06</v>
      </c>
      <c r="R19" s="11">
        <f>O19+P19*('Ballistics Table'!B13-S19)+Q19*('Ballistics Table'!B13-S19)^2</f>
        <v>3.38316122744</v>
      </c>
      <c r="S19" s="11">
        <f t="shared" si="7"/>
        <v>1750</v>
      </c>
      <c r="T19" s="11">
        <f>('Ballistics Table'!$S$6/$F$36)*(R19-$F$34)</f>
        <v>0.7270669054518777</v>
      </c>
      <c r="U19" s="11">
        <f>14.0069+6.59285*(('Ballistics Table'!B13/'Ballistics Table'!$S$4)-0.65)-1.94051*(('Ballistics Table'!B13/'Ballistics Table'!$S$4)-0.65)^2</f>
        <v>14.04288713236265</v>
      </c>
      <c r="V19" s="9"/>
      <c r="W19" s="9"/>
      <c r="X19" s="9"/>
      <c r="Y19" s="9"/>
      <c r="Z19" s="9"/>
    </row>
    <row r="20" spans="1:26" ht="12">
      <c r="A20" s="11">
        <v>14798.5</v>
      </c>
      <c r="B20" s="11">
        <f t="shared" si="0"/>
        <v>6.757441632597898E-05</v>
      </c>
      <c r="C20" s="11">
        <v>1115</v>
      </c>
      <c r="D20" s="11">
        <v>14751.9</v>
      </c>
      <c r="E20" s="11">
        <v>-9.231361</v>
      </c>
      <c r="F20" s="11">
        <v>0.0165939</v>
      </c>
      <c r="G20" s="11">
        <v>6.16907</v>
      </c>
      <c r="H20" s="11">
        <v>-0.00828369</v>
      </c>
      <c r="I20" s="11">
        <v>1.83284E-05</v>
      </c>
      <c r="J20" s="11">
        <f>$F$35+3*'Ballistics Table'!A14/('Ballistics Table'!$S$6/$F$36)</f>
        <v>11205.336070543379</v>
      </c>
      <c r="K20" s="11"/>
      <c r="L20" s="11">
        <f t="shared" si="1"/>
        <v>11189.1</v>
      </c>
      <c r="M20" s="11">
        <f t="shared" si="2"/>
        <v>-4.31589</v>
      </c>
      <c r="N20" s="11">
        <f t="shared" si="3"/>
        <v>0.000960342</v>
      </c>
      <c r="O20" s="11">
        <f t="shared" si="4"/>
        <v>3.56969</v>
      </c>
      <c r="P20" s="11">
        <f t="shared" si="5"/>
        <v>-0.00249074</v>
      </c>
      <c r="Q20" s="11">
        <f t="shared" si="6"/>
        <v>1.27366E-06</v>
      </c>
      <c r="R20" s="11">
        <f>O20+P20*('Ballistics Table'!B14-S20)+Q20*('Ballistics Table'!B14-S20)^2</f>
        <v>3.57967333856</v>
      </c>
      <c r="S20" s="11">
        <f t="shared" si="7"/>
        <v>1750</v>
      </c>
      <c r="T20" s="11">
        <f>('Ballistics Table'!$S$6/$F$36)*(R20-$F$34)</f>
        <v>0.8194674635713299</v>
      </c>
      <c r="U20" s="11">
        <f>14.0069+6.59285*(('Ballistics Table'!B14/'Ballistics Table'!$S$4)-0.65)-1.94051*(('Ballistics Table'!B14/'Ballistics Table'!$S$4)-0.65)^2</f>
        <v>13.847985150779415</v>
      </c>
      <c r="V20" s="9"/>
      <c r="W20" s="9"/>
      <c r="X20" s="9"/>
      <c r="Y20" s="9"/>
      <c r="Z20" s="9"/>
    </row>
    <row r="21" spans="1:26" ht="12">
      <c r="A21" s="11">
        <v>14706.2</v>
      </c>
      <c r="B21" s="11">
        <f t="shared" si="0"/>
        <v>6.799853123172539E-05</v>
      </c>
      <c r="C21" s="11">
        <v>1125</v>
      </c>
      <c r="D21" s="11">
        <v>14661.2</v>
      </c>
      <c r="E21" s="11">
        <v>-8.930021</v>
      </c>
      <c r="F21" s="11">
        <v>0.0147629</v>
      </c>
      <c r="G21" s="11">
        <v>6.08802</v>
      </c>
      <c r="H21" s="11">
        <v>-0.00793184</v>
      </c>
      <c r="I21" s="11">
        <v>1.70991E-05</v>
      </c>
      <c r="J21" s="11">
        <f>$F$35+3*'Ballistics Table'!A15/('Ballistics Table'!$S$6/$F$36)</f>
        <v>11554.334367643525</v>
      </c>
      <c r="K21" s="11"/>
      <c r="L21" s="11">
        <f t="shared" si="1"/>
        <v>11189.1</v>
      </c>
      <c r="M21" s="11">
        <f t="shared" si="2"/>
        <v>-4.31589</v>
      </c>
      <c r="N21" s="11">
        <f t="shared" si="3"/>
        <v>0.000960342</v>
      </c>
      <c r="O21" s="11">
        <f t="shared" si="4"/>
        <v>3.56969</v>
      </c>
      <c r="P21" s="11">
        <f t="shared" si="5"/>
        <v>-0.00249074</v>
      </c>
      <c r="Q21" s="11">
        <f t="shared" si="6"/>
        <v>1.27366E-06</v>
      </c>
      <c r="R21" s="11">
        <f>O21+P21*('Ballistics Table'!B15-S21)+Q21*('Ballistics Table'!B15-S21)^2</f>
        <v>3.78789910496</v>
      </c>
      <c r="S21" s="11">
        <f t="shared" si="7"/>
        <v>1750</v>
      </c>
      <c r="T21" s="11">
        <f>('Ballistics Table'!$S$6/$F$36)*(R21-$F$34)</f>
        <v>0.9173758159906965</v>
      </c>
      <c r="U21" s="11">
        <f>14.0069+6.59285*(('Ballistics Table'!B15/'Ballistics Table'!$S$4)-0.65)-1.94051*(('Ballistics Table'!B15/'Ballistics Table'!$S$4)-0.65)^2</f>
        <v>13.654603393120144</v>
      </c>
      <c r="V21" s="9"/>
      <c r="W21" s="9"/>
      <c r="X21" s="9"/>
      <c r="Y21" s="9"/>
      <c r="Z21" s="9"/>
    </row>
    <row r="22" spans="1:26" ht="12">
      <c r="A22" s="11">
        <v>14616.9</v>
      </c>
      <c r="B22" s="11">
        <f t="shared" si="0"/>
        <v>6.841395918423196E-05</v>
      </c>
      <c r="C22" s="11">
        <v>1140</v>
      </c>
      <c r="D22" s="11">
        <v>14530.6</v>
      </c>
      <c r="E22" s="11">
        <v>-8.482001</v>
      </c>
      <c r="F22" s="11">
        <v>0.0116909</v>
      </c>
      <c r="G22" s="11">
        <v>5.97274</v>
      </c>
      <c r="H22" s="11">
        <v>-0.00745342</v>
      </c>
      <c r="I22" s="11">
        <v>1.50953E-05</v>
      </c>
      <c r="J22" s="11">
        <f>$F$35+3*'Ballistics Table'!A16/('Ballistics Table'!$S$6/$F$36)</f>
        <v>11903.332664743673</v>
      </c>
      <c r="K22" s="11"/>
      <c r="L22" s="11">
        <f t="shared" si="1"/>
        <v>11189.1</v>
      </c>
      <c r="M22" s="11">
        <f t="shared" si="2"/>
        <v>-4.31589</v>
      </c>
      <c r="N22" s="11">
        <f t="shared" si="3"/>
        <v>0.000960342</v>
      </c>
      <c r="O22" s="11">
        <f t="shared" si="4"/>
        <v>3.56969</v>
      </c>
      <c r="P22" s="11">
        <f t="shared" si="5"/>
        <v>-0.00249074</v>
      </c>
      <c r="Q22" s="11">
        <f t="shared" si="6"/>
        <v>1.27366E-06</v>
      </c>
      <c r="R22" s="11">
        <f>O22+P22*('Ballistics Table'!B16-S22)+Q22*('Ballistics Table'!B16-S22)^2</f>
        <v>4.000814096</v>
      </c>
      <c r="S22" s="11">
        <f t="shared" si="7"/>
        <v>1750</v>
      </c>
      <c r="T22" s="11">
        <f>('Ballistics Table'!$S$6/$F$36)*(R22-$F$34)</f>
        <v>1.0174890552814828</v>
      </c>
      <c r="U22" s="11">
        <f>14.0069+6.59285*(('Ballistics Table'!B16/'Ballistics Table'!$S$4)-0.65)-1.94051*(('Ballistics Table'!B16/'Ballistics Table'!$S$4)-0.65)^2</f>
        <v>13.467932685243289</v>
      </c>
      <c r="V22" s="9"/>
      <c r="W22" s="9"/>
      <c r="X22" s="9"/>
      <c r="Y22" s="9"/>
      <c r="Z22" s="9"/>
    </row>
    <row r="23" spans="1:26" ht="12">
      <c r="A23" s="11">
        <v>14447.1</v>
      </c>
      <c r="B23" s="11">
        <f t="shared" si="0"/>
        <v>6.921804375964726E-05</v>
      </c>
      <c r="C23" s="11">
        <v>1200</v>
      </c>
      <c r="D23" s="11">
        <v>14062.5</v>
      </c>
      <c r="E23" s="11">
        <v>-7.2568</v>
      </c>
      <c r="F23" s="11">
        <v>0.00850001</v>
      </c>
      <c r="G23" s="11">
        <v>5.57228</v>
      </c>
      <c r="H23" s="11">
        <v>-0.006058</v>
      </c>
      <c r="I23" s="11">
        <v>9.6174E-06</v>
      </c>
      <c r="J23" s="11">
        <f>$F$35+3*'Ballistics Table'!A17/('Ballistics Table'!$S$6/$F$36)</f>
        <v>12252.330961843822</v>
      </c>
      <c r="K23" s="11"/>
      <c r="L23" s="11">
        <f t="shared" si="1"/>
        <v>11189.1</v>
      </c>
      <c r="M23" s="11">
        <f t="shared" si="2"/>
        <v>-4.31589</v>
      </c>
      <c r="N23" s="11">
        <f t="shared" si="3"/>
        <v>0.000960342</v>
      </c>
      <c r="O23" s="11">
        <f t="shared" si="4"/>
        <v>3.56969</v>
      </c>
      <c r="P23" s="11">
        <f t="shared" si="5"/>
        <v>-0.00249074</v>
      </c>
      <c r="Q23" s="11">
        <f t="shared" si="6"/>
        <v>1.27366E-06</v>
      </c>
      <c r="R23" s="11">
        <f>O23+P23*('Ballistics Table'!B17-S23)+Q23*('Ballistics Table'!B17-S23)^2</f>
        <v>4.2253517735</v>
      </c>
      <c r="S23" s="11">
        <f t="shared" si="7"/>
        <v>1750</v>
      </c>
      <c r="T23" s="11">
        <f>('Ballistics Table'!$S$6/$F$36)*(R23-$F$34)</f>
        <v>1.123067315072179</v>
      </c>
      <c r="U23" s="11">
        <f>14.0069+6.59285*(('Ballistics Table'!B17/'Ballistics Table'!$S$4)-0.65)-1.94051*(('Ballistics Table'!B17/'Ballistics Table'!$S$4)-0.65)^2</f>
        <v>13.280892615772308</v>
      </c>
      <c r="V23" s="9"/>
      <c r="W23" s="9"/>
      <c r="X23" s="9"/>
      <c r="Y23" s="9"/>
      <c r="Z23" s="9"/>
    </row>
    <row r="24" spans="1:26" ht="12">
      <c r="A24" s="11">
        <v>13720.5</v>
      </c>
      <c r="B24" s="11">
        <f t="shared" si="0"/>
        <v>7.288364126671769E-05</v>
      </c>
      <c r="C24" s="11">
        <v>1375</v>
      </c>
      <c r="D24" s="11">
        <v>12977.5</v>
      </c>
      <c r="E24" s="11">
        <v>-5.5464</v>
      </c>
      <c r="F24" s="11">
        <v>0.00306207</v>
      </c>
      <c r="G24" s="11">
        <v>4.72557</v>
      </c>
      <c r="H24" s="11">
        <v>-0.00405656</v>
      </c>
      <c r="I24" s="11">
        <v>3.72586E-06</v>
      </c>
      <c r="J24" s="11">
        <f>$F$35+3*'Ballistics Table'!A18/('Ballistics Table'!$S$6/$F$36)</f>
        <v>12601.32925894397</v>
      </c>
      <c r="K24" s="11"/>
      <c r="L24" s="11">
        <f t="shared" si="1"/>
        <v>11189.1</v>
      </c>
      <c r="M24" s="11">
        <f t="shared" si="2"/>
        <v>-4.31589</v>
      </c>
      <c r="N24" s="11">
        <f t="shared" si="3"/>
        <v>0.000960342</v>
      </c>
      <c r="O24" s="11">
        <f t="shared" si="4"/>
        <v>3.56969</v>
      </c>
      <c r="P24" s="11">
        <f t="shared" si="5"/>
        <v>-0.00249074</v>
      </c>
      <c r="Q24" s="11">
        <f t="shared" si="6"/>
        <v>1.27366E-06</v>
      </c>
      <c r="R24" s="11">
        <f>O24+P24*('Ballistics Table'!B18-S24)+Q24*('Ballistics Table'!B18-S24)^2</f>
        <v>4.45438836134</v>
      </c>
      <c r="S24" s="11">
        <f t="shared" si="7"/>
        <v>1750</v>
      </c>
      <c r="T24" s="11">
        <f>('Ballistics Table'!$S$6/$F$36)*(R24-$F$34)</f>
        <v>1.2307609754047362</v>
      </c>
      <c r="U24" s="11">
        <f>14.0069+6.59285*(('Ballistics Table'!B18/'Ballistics Table'!$S$4)-0.65)-1.94051*(('Ballistics Table'!B18/'Ballistics Table'!$S$4)-0.65)^2</f>
        <v>13.098693471342633</v>
      </c>
      <c r="V24" s="9"/>
      <c r="W24" s="9"/>
      <c r="X24" s="9"/>
      <c r="Y24" s="9"/>
      <c r="Z24" s="9"/>
    </row>
    <row r="25" spans="1:26" ht="12">
      <c r="A25" s="11">
        <v>12330.3</v>
      </c>
      <c r="B25" s="11">
        <f t="shared" si="0"/>
        <v>8.110102755001906E-05</v>
      </c>
      <c r="C25" s="11">
        <v>1750</v>
      </c>
      <c r="D25" s="11">
        <v>11189.1</v>
      </c>
      <c r="E25" s="11">
        <v>-4.31589</v>
      </c>
      <c r="F25" s="11">
        <v>0.000960342</v>
      </c>
      <c r="G25" s="11">
        <v>3.56969</v>
      </c>
      <c r="H25" s="11">
        <v>-0.00249074</v>
      </c>
      <c r="I25" s="11">
        <v>1.27366E-06</v>
      </c>
      <c r="J25" s="11">
        <f>$F$35+3*'Ballistics Table'!A19/('Ballistics Table'!$S$6/$F$36)</f>
        <v>12950.327556044118</v>
      </c>
      <c r="K25" s="11"/>
      <c r="L25" s="11">
        <f t="shared" si="1"/>
        <v>12977.5</v>
      </c>
      <c r="M25" s="11">
        <f t="shared" si="2"/>
        <v>-5.5464</v>
      </c>
      <c r="N25" s="11">
        <f t="shared" si="3"/>
        <v>0.00306207</v>
      </c>
      <c r="O25" s="11">
        <f t="shared" si="4"/>
        <v>4.72557</v>
      </c>
      <c r="P25" s="11">
        <f t="shared" si="5"/>
        <v>-0.00405656</v>
      </c>
      <c r="Q25" s="11">
        <f t="shared" si="6"/>
        <v>3.72586E-06</v>
      </c>
      <c r="R25" s="11">
        <f>O25+P25*('Ballistics Table'!B19-S25)+Q25*('Ballistics Table'!B19-S25)^2</f>
        <v>4.709403373760001</v>
      </c>
      <c r="S25" s="11">
        <f t="shared" si="7"/>
        <v>1375</v>
      </c>
      <c r="T25" s="11">
        <f>('Ballistics Table'!$S$6/$F$36)*(R25-$F$34)</f>
        <v>1.3506697654642863</v>
      </c>
      <c r="U25" s="11">
        <f>14.0069+6.59285*(('Ballistics Table'!B19/'Ballistics Table'!$S$4)-0.65)-1.94051*(('Ballistics Table'!B19/'Ballistics Table'!$S$4)-0.65)^2</f>
        <v>12.93456705318108</v>
      </c>
      <c r="V25" s="9"/>
      <c r="W25" s="9"/>
      <c r="X25" s="9"/>
      <c r="Y25" s="9"/>
      <c r="Z25" s="9"/>
    </row>
    <row r="26" spans="1:26" ht="12">
      <c r="A26" s="11">
        <v>10168.1</v>
      </c>
      <c r="B26" s="11">
        <f t="shared" si="0"/>
        <v>9.834679045249358E-05</v>
      </c>
      <c r="C26" s="11">
        <v>2250</v>
      </c>
      <c r="D26" s="11">
        <v>9222.059</v>
      </c>
      <c r="E26" s="11">
        <v>-3.66916</v>
      </c>
      <c r="F26" s="11">
        <v>0.00045401</v>
      </c>
      <c r="G26" s="11">
        <v>2.57801</v>
      </c>
      <c r="H26" s="11">
        <v>-0.00163915</v>
      </c>
      <c r="I26" s="11">
        <v>5.68494E-07</v>
      </c>
      <c r="J26" s="11">
        <f>$F$35+3*'Ballistics Table'!A20/('Ballistics Table'!$S$6/$F$36)</f>
        <v>13299.325853144264</v>
      </c>
      <c r="K26" s="9"/>
      <c r="L26" s="11">
        <f t="shared" si="1"/>
        <v>12977.5</v>
      </c>
      <c r="M26" s="11">
        <f t="shared" si="2"/>
        <v>-5.5464</v>
      </c>
      <c r="N26" s="11">
        <f t="shared" si="3"/>
        <v>0.00306207</v>
      </c>
      <c r="O26" s="11">
        <f t="shared" si="4"/>
        <v>4.72557</v>
      </c>
      <c r="P26" s="11">
        <f t="shared" si="5"/>
        <v>-0.00405656</v>
      </c>
      <c r="Q26" s="11">
        <f t="shared" si="6"/>
        <v>3.72586E-06</v>
      </c>
      <c r="R26" s="11">
        <f>O26+P26*('Ballistics Table'!B20-S26)+Q26*('Ballistics Table'!B20-S26)^2</f>
        <v>4.96889923914</v>
      </c>
      <c r="S26" s="11">
        <f t="shared" si="7"/>
        <v>1375</v>
      </c>
      <c r="T26" s="11">
        <f>('Ballistics Table'!$S$6/$F$36)*(R26-$F$34)</f>
        <v>1.472685465433843</v>
      </c>
      <c r="U26" s="11">
        <f>14.0069+6.59285*(('Ballistics Table'!B20/'Ballistics Table'!$S$4)-0.65)-1.94051*(('Ballistics Table'!B20/'Ballistics Table'!$S$4)-0.65)^2</f>
        <v>12.776231645172746</v>
      </c>
      <c r="V26" s="9"/>
      <c r="W26" s="9"/>
      <c r="X26" s="9"/>
      <c r="Y26" s="9"/>
      <c r="Z26" s="9"/>
    </row>
    <row r="27" spans="1:26" ht="12">
      <c r="A27" s="11">
        <v>8332.83</v>
      </c>
      <c r="B27" s="11">
        <f t="shared" si="0"/>
        <v>0.00012000724843780564</v>
      </c>
      <c r="C27" s="11">
        <v>2750</v>
      </c>
      <c r="D27" s="11">
        <v>7492.73</v>
      </c>
      <c r="E27" s="11">
        <v>-3.26733</v>
      </c>
      <c r="F27" s="11">
        <v>0.000371407</v>
      </c>
      <c r="G27" s="11">
        <v>1.88267</v>
      </c>
      <c r="H27" s="11">
        <v>-0.0011924</v>
      </c>
      <c r="I27" s="11">
        <v>3.52828E-07</v>
      </c>
      <c r="J27" s="11">
        <f>$F$35+3*'Ballistics Table'!A21/('Ballistics Table'!$S$6/$F$36)</f>
        <v>13648.32415024441</v>
      </c>
      <c r="K27" s="9"/>
      <c r="L27" s="11">
        <f t="shared" si="1"/>
        <v>12977.5</v>
      </c>
      <c r="M27" s="11">
        <f t="shared" si="2"/>
        <v>-5.5464</v>
      </c>
      <c r="N27" s="11">
        <f t="shared" si="3"/>
        <v>0.00306207</v>
      </c>
      <c r="O27" s="11">
        <f t="shared" si="4"/>
        <v>4.72557</v>
      </c>
      <c r="P27" s="11">
        <f t="shared" si="5"/>
        <v>-0.00405656</v>
      </c>
      <c r="Q27" s="11">
        <f t="shared" si="6"/>
        <v>3.72586E-06</v>
      </c>
      <c r="R27" s="11">
        <f>O27+P27*('Ballistics Table'!B21-S27)+Q27*('Ballistics Table'!B21-S27)^2</f>
        <v>5.236439116560001</v>
      </c>
      <c r="S27" s="11">
        <f t="shared" si="7"/>
        <v>1375</v>
      </c>
      <c r="T27" s="11">
        <f>('Ballistics Table'!$S$6/$F$36)*(R27-$F$34)</f>
        <v>1.5984834829296815</v>
      </c>
      <c r="U27" s="11">
        <f>14.0069+6.59285*(('Ballistics Table'!B21/'Ballistics Table'!$S$4)-0.65)-1.94051*(('Ballistics Table'!B21/'Ballistics Table'!$S$4)-0.65)^2</f>
        <v>12.626600769101298</v>
      </c>
      <c r="V27" s="9"/>
      <c r="W27" s="9"/>
      <c r="X27" s="9"/>
      <c r="Y27" s="9"/>
      <c r="Z27" s="9"/>
    </row>
    <row r="28" spans="1:26" ht="12">
      <c r="A28" s="11">
        <v>6699.05</v>
      </c>
      <c r="B28" s="11">
        <f t="shared" si="0"/>
        <v>0.00014927489718691454</v>
      </c>
      <c r="C28" s="11">
        <v>3250</v>
      </c>
      <c r="D28" s="11">
        <v>5950.45</v>
      </c>
      <c r="E28" s="11">
        <v>-2.90704</v>
      </c>
      <c r="F28" s="11">
        <v>0.000348885</v>
      </c>
      <c r="G28" s="11">
        <v>1.36656</v>
      </c>
      <c r="H28" s="11">
        <v>-0.000897071</v>
      </c>
      <c r="I28" s="11">
        <v>2.45908E-07</v>
      </c>
      <c r="J28" s="11">
        <f>$F$35+3*'Ballistics Table'!A22/('Ballistics Table'!$S$6/$F$36)</f>
        <v>13997.322447344559</v>
      </c>
      <c r="K28" s="9"/>
      <c r="L28" s="11">
        <f t="shared" si="1"/>
        <v>12977.5</v>
      </c>
      <c r="M28" s="11">
        <f t="shared" si="2"/>
        <v>-5.5464</v>
      </c>
      <c r="N28" s="11">
        <f t="shared" si="3"/>
        <v>0.00306207</v>
      </c>
      <c r="O28" s="11">
        <f t="shared" si="4"/>
        <v>4.72557</v>
      </c>
      <c r="P28" s="11">
        <f t="shared" si="5"/>
        <v>-0.00405656</v>
      </c>
      <c r="Q28" s="11">
        <f t="shared" si="6"/>
        <v>3.72586E-06</v>
      </c>
      <c r="R28" s="11">
        <f>O28+P28*('Ballistics Table'!B22-S28)+Q28*('Ballistics Table'!B22-S28)^2</f>
        <v>5.51754292746</v>
      </c>
      <c r="S28" s="11">
        <f t="shared" si="7"/>
        <v>1375</v>
      </c>
      <c r="T28" s="11">
        <f>('Ballistics Table'!$S$6/$F$36)*(R28-$F$34)</f>
        <v>1.7306593008404858</v>
      </c>
      <c r="U28" s="11">
        <f>14.0069+6.59285*(('Ballistics Table'!B22/'Ballistics Table'!$S$4)-0.65)-1.94051*(('Ballistics Table'!B22/'Ballistics Table'!$S$4)-0.65)^2</f>
        <v>12.480683196820868</v>
      </c>
      <c r="V28" s="9"/>
      <c r="W28" s="9"/>
      <c r="X28" s="9"/>
      <c r="Y28" s="9"/>
      <c r="Z28" s="9"/>
    </row>
    <row r="29" spans="1:26" ht="12">
      <c r="A29" s="11">
        <v>5245.45</v>
      </c>
      <c r="B29" s="11">
        <f t="shared" si="0"/>
        <v>0.00019064141303415342</v>
      </c>
      <c r="C29" s="11">
        <v>3750</v>
      </c>
      <c r="D29" s="11">
        <v>4582.38</v>
      </c>
      <c r="E29" s="11">
        <v>-2.57414</v>
      </c>
      <c r="F29" s="11">
        <v>0.000310524</v>
      </c>
      <c r="G29" s="11">
        <v>0.974457</v>
      </c>
      <c r="H29" s="11">
        <v>-0.0006880031</v>
      </c>
      <c r="I29" s="11">
        <v>1.74925E-07</v>
      </c>
      <c r="J29" s="11">
        <f>$F$35+3*'Ballistics Table'!A23/('Ballistics Table'!$S$6/$F$36)</f>
        <v>14346.320744444707</v>
      </c>
      <c r="K29" s="9"/>
      <c r="L29" s="11">
        <f t="shared" si="1"/>
        <v>14062.5</v>
      </c>
      <c r="M29" s="11">
        <f t="shared" si="2"/>
        <v>-7.2568</v>
      </c>
      <c r="N29" s="11">
        <f t="shared" si="3"/>
        <v>0.00850001</v>
      </c>
      <c r="O29" s="11">
        <f t="shared" si="4"/>
        <v>5.57228</v>
      </c>
      <c r="P29" s="11">
        <f t="shared" si="5"/>
        <v>-0.006058</v>
      </c>
      <c r="Q29" s="11">
        <f t="shared" si="6"/>
        <v>9.6174E-06</v>
      </c>
      <c r="R29" s="11">
        <f>O29+P29*('Ballistics Table'!B23-S29)+Q29*('Ballistics Table'!B23-S29)^2</f>
        <v>5.8163715256</v>
      </c>
      <c r="S29" s="11">
        <f t="shared" si="7"/>
        <v>1200</v>
      </c>
      <c r="T29" s="11">
        <f>('Ballistics Table'!$S$6/$F$36)*(R29-$F$34)</f>
        <v>1.8711693645348721</v>
      </c>
      <c r="U29" s="11">
        <f>14.0069+6.59285*(('Ballistics Table'!B23/'Ballistics Table'!$S$4)-0.65)-1.94051*(('Ballistics Table'!B23/'Ballistics Table'!$S$4)-0.65)^2</f>
        <v>12.362862329451486</v>
      </c>
      <c r="V29" s="9"/>
      <c r="W29" s="9"/>
      <c r="X29" s="9"/>
      <c r="Y29" s="9"/>
      <c r="Z29" s="9"/>
    </row>
    <row r="30" spans="1:26" ht="12">
      <c r="A30" s="11">
        <v>3958.11</v>
      </c>
      <c r="B30" s="11">
        <f t="shared" si="0"/>
        <v>0.000252645833491237</v>
      </c>
      <c r="C30" s="11">
        <v>4250</v>
      </c>
      <c r="D30" s="11">
        <v>3369.09</v>
      </c>
      <c r="E30" s="11">
        <v>-2.29123</v>
      </c>
      <c r="F30" s="11">
        <v>0.000257709</v>
      </c>
      <c r="G30" s="11">
        <v>0.670381</v>
      </c>
      <c r="H30" s="11">
        <v>-0.000540083</v>
      </c>
      <c r="I30" s="11">
        <v>1.24357E-07</v>
      </c>
      <c r="J30" s="11">
        <f>$F$35+3*'Ballistics Table'!A24/('Ballistics Table'!$S$6/$F$36)</f>
        <v>14695.319041544855</v>
      </c>
      <c r="K30" s="9"/>
      <c r="L30" s="11">
        <f t="shared" si="1"/>
        <v>14062.5</v>
      </c>
      <c r="M30" s="11">
        <f t="shared" si="2"/>
        <v>-7.2568</v>
      </c>
      <c r="N30" s="11">
        <f t="shared" si="3"/>
        <v>0.00850001</v>
      </c>
      <c r="O30" s="11">
        <f t="shared" si="4"/>
        <v>5.57228</v>
      </c>
      <c r="P30" s="11">
        <f t="shared" si="5"/>
        <v>-0.006058</v>
      </c>
      <c r="Q30" s="11">
        <f t="shared" si="6"/>
        <v>9.6174E-06</v>
      </c>
      <c r="R30" s="11">
        <f>O30+P30*('Ballistics Table'!B24-S30)+Q30*('Ballistics Table'!B24-S30)^2</f>
        <v>6.11847136</v>
      </c>
      <c r="S30" s="11">
        <f t="shared" si="7"/>
        <v>1200</v>
      </c>
      <c r="T30" s="11">
        <f>('Ballistics Table'!$S$6/$F$36)*(R30-$F$34)</f>
        <v>2.0132175728985198</v>
      </c>
      <c r="U30" s="11">
        <f>14.0069+6.59285*(('Ballistics Table'!B24/'Ballistics Table'!$S$4)-0.65)-1.94051*(('Ballistics Table'!B24/'Ballistics Table'!$S$4)-0.65)^2</f>
        <v>12.249495772381106</v>
      </c>
      <c r="V30" s="9"/>
      <c r="W30" s="9"/>
      <c r="X30" s="9"/>
      <c r="Y30" s="9"/>
      <c r="Z30" s="9"/>
    </row>
    <row r="31" spans="1:26" ht="12">
      <c r="A31" s="11"/>
      <c r="B31" s="11"/>
      <c r="C31" s="11"/>
      <c r="D31" s="11"/>
      <c r="E31" s="11"/>
      <c r="F31" s="11"/>
      <c r="G31" s="11"/>
      <c r="H31" s="11"/>
      <c r="I31" s="11"/>
      <c r="J31" s="11">
        <f>$F$35+3*'Ballistics Table'!A25/('Ballistics Table'!$S$6/$F$36)</f>
        <v>15044.317338645003</v>
      </c>
      <c r="K31" s="9"/>
      <c r="L31" s="11">
        <f t="shared" si="1"/>
        <v>14661.2</v>
      </c>
      <c r="M31" s="11">
        <f t="shared" si="2"/>
        <v>-8.930021</v>
      </c>
      <c r="N31" s="11">
        <f t="shared" si="3"/>
        <v>0.0147629</v>
      </c>
      <c r="O31" s="11">
        <f t="shared" si="4"/>
        <v>6.08802</v>
      </c>
      <c r="P31" s="11">
        <f t="shared" si="5"/>
        <v>-0.00793184</v>
      </c>
      <c r="Q31" s="11">
        <f t="shared" si="6"/>
        <v>1.70991E-05</v>
      </c>
      <c r="R31" s="11">
        <f>O31+P31*('Ballistics Table'!B25-S31)+Q31*('Ballistics Table'!B25-S31)^2</f>
        <v>6.441969027100001</v>
      </c>
      <c r="S31" s="11">
        <f t="shared" si="7"/>
        <v>1125</v>
      </c>
      <c r="T31" s="11">
        <f>('Ballistics Table'!$S$6/$F$36)*(R31-$F$34)</f>
        <v>2.1653271035529826</v>
      </c>
      <c r="U31" s="11">
        <f>14.0069+6.59285*(('Ballistics Table'!B25/'Ballistics Table'!$S$4)-0.65)-1.94051*(('Ballistics Table'!B25/'Ballistics Table'!$S$4)-0.65)^2</f>
        <v>12.151623849778169</v>
      </c>
      <c r="V31" s="9"/>
      <c r="W31" s="9"/>
      <c r="X31" s="9"/>
      <c r="Y31" s="9"/>
      <c r="Z31" s="9"/>
    </row>
    <row r="32" spans="1:26" ht="12">
      <c r="A32" s="11"/>
      <c r="B32" s="11"/>
      <c r="C32" s="11"/>
      <c r="D32" s="11"/>
      <c r="E32" s="11"/>
      <c r="F32" s="11"/>
      <c r="G32" s="11"/>
      <c r="H32" s="11"/>
      <c r="I32" s="11"/>
      <c r="J32" s="11">
        <f>$F$35+3*'Ballistics Table'!A26/('Ballistics Table'!$S$6/$F$36)</f>
        <v>15393.315635745152</v>
      </c>
      <c r="K32" s="9"/>
      <c r="L32" s="11">
        <f t="shared" si="1"/>
        <v>15019.2</v>
      </c>
      <c r="M32" s="11">
        <f t="shared" si="2"/>
        <v>-10.2383</v>
      </c>
      <c r="N32" s="11">
        <f t="shared" si="3"/>
        <v>0.0199585</v>
      </c>
      <c r="O32" s="11">
        <f t="shared" si="4"/>
        <v>6.41183</v>
      </c>
      <c r="P32" s="11">
        <f t="shared" si="5"/>
        <v>-0.00941688</v>
      </c>
      <c r="Q32" s="11">
        <f t="shared" si="6"/>
        <v>2.2611E-05</v>
      </c>
      <c r="R32" s="11">
        <f>O32+P32*('Ballistics Table'!B26-S32)+Q32*('Ballistics Table'!B26-S32)^2</f>
        <v>6.763625102750001</v>
      </c>
      <c r="S32" s="11">
        <f t="shared" si="7"/>
        <v>1087.5</v>
      </c>
      <c r="T32" s="11">
        <f>('Ballistics Table'!$S$6/$F$36)*(R32-$F$34)</f>
        <v>2.3165707126271506</v>
      </c>
      <c r="U32" s="11">
        <f>14.0069+6.59285*(('Ballistics Table'!B26/'Ballistics Table'!$S$4)-0.65)-1.94051*(('Ballistics Table'!B26/'Ballistics Table'!$S$4)-0.65)^2</f>
        <v>12.066827044197666</v>
      </c>
      <c r="V32" s="9"/>
      <c r="W32" s="9"/>
      <c r="X32" s="9"/>
      <c r="Y32" s="9"/>
      <c r="Z32" s="9"/>
    </row>
    <row r="33" spans="1:26" ht="12">
      <c r="A33" s="11"/>
      <c r="B33" s="11"/>
      <c r="C33" s="11"/>
      <c r="D33" s="11"/>
      <c r="E33" s="11"/>
      <c r="F33" s="11"/>
      <c r="G33" s="11"/>
      <c r="H33" s="11"/>
      <c r="I33" s="11"/>
      <c r="J33" s="11">
        <f>$F$35+3*'Ballistics Table'!A27/('Ballistics Table'!$S$6/$F$36)</f>
        <v>15742.313932845298</v>
      </c>
      <c r="K33" s="9"/>
      <c r="L33" s="11">
        <f t="shared" si="1"/>
        <v>15288.1</v>
      </c>
      <c r="M33" s="11">
        <f t="shared" si="2"/>
        <v>-11.3183</v>
      </c>
      <c r="N33" s="11">
        <f t="shared" si="3"/>
        <v>0.023346</v>
      </c>
      <c r="O33" s="11">
        <f t="shared" si="4"/>
        <v>6.66207</v>
      </c>
      <c r="P33" s="11">
        <f t="shared" si="5"/>
        <v>-0.0106524</v>
      </c>
      <c r="Q33" s="11">
        <f t="shared" si="6"/>
        <v>2.68757E-05</v>
      </c>
      <c r="R33" s="11">
        <f>O33+P33*('Ballistics Table'!B27-S33)+Q33*('Ballistics Table'!B27-S33)^2</f>
        <v>7.099328953125</v>
      </c>
      <c r="S33" s="11">
        <f t="shared" si="7"/>
        <v>1062.5</v>
      </c>
      <c r="T33" s="11">
        <f>('Ballistics Table'!$S$6/$F$36)*(R33-$F$34)</f>
        <v>2.4744196256570303</v>
      </c>
      <c r="U33" s="11">
        <f>14.0069+6.59285*(('Ballistics Table'!B27/'Ballistics Table'!$S$4)-0.65)-1.94051*(('Ballistics Table'!B27/'Ballistics Table'!$S$4)-0.65)^2</f>
        <v>11.989824211816202</v>
      </c>
      <c r="V33" s="9"/>
      <c r="W33" s="9"/>
      <c r="X33" s="9"/>
      <c r="Y33" s="9"/>
      <c r="Z33" s="9"/>
    </row>
    <row r="34" spans="1:26" ht="12">
      <c r="A34" s="11"/>
      <c r="B34" s="11"/>
      <c r="C34" s="11"/>
      <c r="D34" s="11"/>
      <c r="E34" s="11"/>
      <c r="F34" s="11">
        <f>O9+P9*('Ballistics Table'!$S$4-$S$9)+Q9*('Ballistics Table'!$S$4-$S$9)^2</f>
        <v>1.8368777912390302</v>
      </c>
      <c r="G34" s="11"/>
      <c r="H34" s="71" t="s">
        <v>6</v>
      </c>
      <c r="I34" s="11"/>
      <c r="J34" s="11">
        <f>$F$35+3*'Ballistics Table'!A28/('Ballistics Table'!$S$6/$F$36)</f>
        <v>16091.312229945444</v>
      </c>
      <c r="K34" s="9"/>
      <c r="L34" s="11">
        <f t="shared" si="1"/>
        <v>15747.2</v>
      </c>
      <c r="M34" s="11">
        <f t="shared" si="2"/>
        <v>-13.2423</v>
      </c>
      <c r="N34" s="11">
        <f t="shared" si="3"/>
        <v>0.0276581</v>
      </c>
      <c r="O34" s="11">
        <f t="shared" si="4"/>
        <v>7.10211</v>
      </c>
      <c r="P34" s="11">
        <f t="shared" si="5"/>
        <v>-0.0129298</v>
      </c>
      <c r="Q34" s="11">
        <f t="shared" si="6"/>
        <v>3.32035E-05</v>
      </c>
      <c r="R34" s="11">
        <f>O34+P34*('Ballistics Table'!B28-S34)+Q34*('Ballistics Table'!B28-S34)^2</f>
        <v>7.4461071875</v>
      </c>
      <c r="S34" s="11">
        <f t="shared" si="7"/>
        <v>1025</v>
      </c>
      <c r="T34" s="11">
        <f>('Ballistics Table'!$S$6/$F$36)*(R34-$F$34)</f>
        <v>2.6374757457979485</v>
      </c>
      <c r="U34" s="11">
        <f>14.0069+6.59285*(('Ballistics Table'!B28/'Ballistics Table'!$S$4)-0.65)-1.94051*(('Ballistics Table'!B28/'Ballistics Table'!$S$4)-0.65)^2</f>
        <v>11.920741099192709</v>
      </c>
      <c r="V34" s="9"/>
      <c r="W34" s="9"/>
      <c r="X34" s="9"/>
      <c r="Y34" s="9"/>
      <c r="Z34" s="9"/>
    </row>
    <row r="35" spans="1:26" ht="12">
      <c r="A35" s="11"/>
      <c r="B35" s="11"/>
      <c r="C35" s="11"/>
      <c r="D35" s="11"/>
      <c r="E35" s="11"/>
      <c r="F35" s="11">
        <f>L9+M9*('Ballistics Table'!$S$4-S9)+N9*('Ballistics Table'!$S$4-S9)^2</f>
        <v>7366.354802441758</v>
      </c>
      <c r="G35" s="11"/>
      <c r="H35" s="71" t="s">
        <v>7</v>
      </c>
      <c r="I35" s="11"/>
      <c r="J35" s="11">
        <f>$F$35+3*'Ballistics Table'!A29/('Ballistics Table'!$S$6/$F$36)</f>
        <v>16440.310527045593</v>
      </c>
      <c r="K35" s="9"/>
      <c r="L35" s="11">
        <f t="shared" si="1"/>
        <v>15747.2</v>
      </c>
      <c r="M35" s="11">
        <f t="shared" si="2"/>
        <v>-13.2423</v>
      </c>
      <c r="N35" s="11">
        <f t="shared" si="3"/>
        <v>0.0276581</v>
      </c>
      <c r="O35" s="11">
        <f t="shared" si="4"/>
        <v>7.10211</v>
      </c>
      <c r="P35" s="11">
        <f t="shared" si="5"/>
        <v>-0.0129298</v>
      </c>
      <c r="Q35" s="11">
        <f t="shared" si="6"/>
        <v>3.32035E-05</v>
      </c>
      <c r="R35" s="11">
        <f>O35+P35*('Ballistics Table'!B29-S35)+Q35*('Ballistics Table'!B29-S35)^2</f>
        <v>7.799241263999999</v>
      </c>
      <c r="S35" s="11">
        <f t="shared" si="7"/>
        <v>1025</v>
      </c>
      <c r="T35" s="11">
        <f>('Ballistics Table'!$S$6/$F$36)*(R35-$F$34)</f>
        <v>2.8035204011305246</v>
      </c>
      <c r="U35" s="11">
        <f>14.0069+6.59285*(('Ballistics Table'!B29/'Ballistics Table'!$S$4)-0.65)-1.94051*(('Ballistics Table'!B29/'Ballistics Table'!$S$4)-0.65)^2</f>
        <v>11.856909190735724</v>
      </c>
      <c r="V35" s="9"/>
      <c r="W35" s="9"/>
      <c r="X35" s="9"/>
      <c r="Y35" s="9"/>
      <c r="Z35" s="9"/>
    </row>
    <row r="36" spans="1:26" ht="12">
      <c r="A36" s="11"/>
      <c r="B36" s="11"/>
      <c r="C36" s="11"/>
      <c r="D36" s="11"/>
      <c r="E36" s="11"/>
      <c r="F36" s="11">
        <f>$F$37*$F$38</f>
        <v>0.9995685535470398</v>
      </c>
      <c r="G36" s="11"/>
      <c r="H36" s="71" t="s">
        <v>8</v>
      </c>
      <c r="I36" s="11"/>
      <c r="J36" s="11">
        <f>$F$35+3*'Ballistics Table'!A30/('Ballistics Table'!$S$6/$F$36)</f>
        <v>16789.30882414574</v>
      </c>
      <c r="K36" s="9"/>
      <c r="L36" s="11">
        <f t="shared" si="1"/>
        <v>16906.5</v>
      </c>
      <c r="M36" s="11">
        <f t="shared" si="2"/>
        <v>-17.8388</v>
      </c>
      <c r="N36" s="11">
        <f t="shared" si="3"/>
        <v>0.0325134</v>
      </c>
      <c r="O36" s="11">
        <f t="shared" si="4"/>
        <v>8.27886</v>
      </c>
      <c r="P36" s="11">
        <f t="shared" si="5"/>
        <v>-0.01884</v>
      </c>
      <c r="Q36" s="11">
        <f t="shared" si="6"/>
        <v>4.41677E-05</v>
      </c>
      <c r="R36" s="11">
        <f>O36+P36*('Ballistics Table'!B30-S36)+Q36*('Ballistics Table'!B30-S36)^2</f>
        <v>8.1674100372</v>
      </c>
      <c r="S36" s="11">
        <f t="shared" si="7"/>
        <v>950</v>
      </c>
      <c r="T36" s="11">
        <f>('Ballistics Table'!$S$6/$F$36)*(R36-$F$34)</f>
        <v>2.9766344139613183</v>
      </c>
      <c r="U36" s="11">
        <f>14.0069+6.59285*(('Ballistics Table'!B30/'Ballistics Table'!$S$4)-0.65)-1.94051*(('Ballistics Table'!B30/'Ballistics Table'!$S$4)-0.65)^2</f>
        <v>11.79839734765609</v>
      </c>
      <c r="V36" s="9"/>
      <c r="W36" s="9"/>
      <c r="X36" s="9"/>
      <c r="Y36" s="9"/>
      <c r="Z36" s="9"/>
    </row>
    <row r="37" spans="1:26" ht="12">
      <c r="A37" s="11"/>
      <c r="B37" s="11"/>
      <c r="C37" s="11"/>
      <c r="D37" s="11"/>
      <c r="E37" s="11"/>
      <c r="F37" s="11">
        <f>1-0.0000359596*'Ballistics Table'!$S$9+0.00000000047741*'Ballistics Table'!$S$9^2</f>
        <v>0.99956855354704</v>
      </c>
      <c r="G37" s="11"/>
      <c r="H37" s="71" t="s">
        <v>9</v>
      </c>
      <c r="I37" s="11"/>
      <c r="J37" s="11">
        <f>$F$35+3*'Ballistics Table'!A31/('Ballistics Table'!$S$6/$F$36)</f>
        <v>17138.30712124589</v>
      </c>
      <c r="K37" s="9"/>
      <c r="L37" s="11">
        <f t="shared" si="1"/>
        <v>16906.5</v>
      </c>
      <c r="M37" s="11">
        <f t="shared" si="2"/>
        <v>-17.8388</v>
      </c>
      <c r="N37" s="11">
        <f t="shared" si="3"/>
        <v>0.0325134</v>
      </c>
      <c r="O37" s="11">
        <f t="shared" si="4"/>
        <v>8.27886</v>
      </c>
      <c r="P37" s="11">
        <f t="shared" si="5"/>
        <v>-0.01884</v>
      </c>
      <c r="Q37" s="11">
        <f t="shared" si="6"/>
        <v>4.41677E-05</v>
      </c>
      <c r="R37" s="11">
        <f>O37+P37*('Ballistics Table'!B31-S37)+Q37*('Ballistics Table'!B31-S37)^2</f>
        <v>8.5312443413</v>
      </c>
      <c r="S37" s="11">
        <f t="shared" si="7"/>
        <v>950</v>
      </c>
      <c r="T37" s="11">
        <f>('Ballistics Table'!$S$6/$F$36)*(R37-$F$34)</f>
        <v>3.1477103469928123</v>
      </c>
      <c r="U37" s="11">
        <f>14.0069+6.59285*(('Ballistics Table'!B31/'Ballistics Table'!$S$4)-0.65)-1.94051*(('Ballistics Table'!B31/'Ballistics Table'!$S$4)-0.65)^2</f>
        <v>11.745268443233272</v>
      </c>
      <c r="V37" s="9"/>
      <c r="W37" s="9"/>
      <c r="X37" s="9"/>
      <c r="Y37" s="9"/>
      <c r="Z37" s="9"/>
    </row>
    <row r="38" spans="1:26" ht="12">
      <c r="A38" s="11"/>
      <c r="B38" s="11"/>
      <c r="C38" s="11"/>
      <c r="D38" s="11"/>
      <c r="E38" s="11"/>
      <c r="F38" s="11">
        <f>518.67/(459.67+'Ballistics Table'!$S$10)</f>
        <v>0.9999999999999998</v>
      </c>
      <c r="G38" s="11"/>
      <c r="H38" s="71" t="s">
        <v>10</v>
      </c>
      <c r="I38" s="11"/>
      <c r="J38" s="11">
        <f>$F$35+3*'Ballistics Table'!A32/('Ballistics Table'!$S$6/$F$36)</f>
        <v>17487.305418346034</v>
      </c>
      <c r="K38" s="9"/>
      <c r="L38" s="11">
        <f t="shared" si="1"/>
        <v>16906.5</v>
      </c>
      <c r="M38" s="11">
        <f t="shared" si="2"/>
        <v>-17.8388</v>
      </c>
      <c r="N38" s="11">
        <f t="shared" si="3"/>
        <v>0.0325134</v>
      </c>
      <c r="O38" s="11">
        <f t="shared" si="4"/>
        <v>8.27886</v>
      </c>
      <c r="P38" s="11">
        <f t="shared" si="5"/>
        <v>-0.01884</v>
      </c>
      <c r="Q38" s="11">
        <f t="shared" si="6"/>
        <v>4.41677E-05</v>
      </c>
      <c r="R38" s="11">
        <f>O38+P38*('Ballistics Table'!B32-S38)+Q38*('Ballistics Table'!B32-S38)^2</f>
        <v>8.9053451597</v>
      </c>
      <c r="S38" s="11">
        <f t="shared" si="7"/>
        <v>950</v>
      </c>
      <c r="T38" s="11">
        <f>('Ballistics Table'!$S$6/$F$36)*(R38-$F$34)</f>
        <v>3.32361362448595</v>
      </c>
      <c r="U38" s="11">
        <f>14.0069+6.59285*(('Ballistics Table'!B32/'Ballistics Table'!$S$4)-0.65)-1.94051*(('Ballistics Table'!B32/'Ballistics Table'!$S$4)-0.65)^2</f>
        <v>11.694769631842242</v>
      </c>
      <c r="V38" s="9"/>
      <c r="W38" s="9"/>
      <c r="X38" s="9"/>
      <c r="Y38" s="9"/>
      <c r="Z38" s="9"/>
    </row>
    <row r="39" spans="1:26" ht="12">
      <c r="A39" s="11"/>
      <c r="B39" s="11"/>
      <c r="C39" s="11"/>
      <c r="D39" s="11"/>
      <c r="E39" s="11"/>
      <c r="F39" s="11"/>
      <c r="G39" s="11"/>
      <c r="H39" s="11"/>
      <c r="I39" s="11"/>
      <c r="J39" s="11">
        <f>$F$35+3*'Ballistics Table'!A33/('Ballistics Table'!$S$6/$F$36)</f>
        <v>17836.303715446185</v>
      </c>
      <c r="K39" s="9"/>
      <c r="L39" s="11">
        <f t="shared" si="1"/>
        <v>16906.5</v>
      </c>
      <c r="M39" s="11">
        <f t="shared" si="2"/>
        <v>-17.8388</v>
      </c>
      <c r="N39" s="11">
        <f t="shared" si="3"/>
        <v>0.0325134</v>
      </c>
      <c r="O39" s="11">
        <f t="shared" si="4"/>
        <v>8.27886</v>
      </c>
      <c r="P39" s="11">
        <f t="shared" si="5"/>
        <v>-0.01884</v>
      </c>
      <c r="Q39" s="11">
        <f t="shared" si="6"/>
        <v>4.41677E-05</v>
      </c>
      <c r="R39" s="11">
        <f>O39+P39*('Ballistics Table'!B33-S39)+Q39*('Ballistics Table'!B33-S39)^2</f>
        <v>9.2849423808</v>
      </c>
      <c r="S39" s="11">
        <f t="shared" si="7"/>
        <v>950</v>
      </c>
      <c r="T39" s="11">
        <f>('Ballistics Table'!$S$6/$F$36)*(R39-$F$34)</f>
        <v>3.5021013262887903</v>
      </c>
      <c r="U39" s="11">
        <f>14.0069+6.59285*(('Ballistics Table'!B33/'Ballistics Table'!$S$4)-0.65)-1.94051*(('Ballistics Table'!B33/'Ballistics Table'!$S$4)-0.65)^2</f>
        <v>11.646927859174198</v>
      </c>
      <c r="V39" s="9"/>
      <c r="W39" s="9"/>
      <c r="X39" s="9"/>
      <c r="Y39" s="9"/>
      <c r="Z39" s="9"/>
    </row>
    <row r="40" spans="1:26" ht="12">
      <c r="A40" s="11"/>
      <c r="B40" s="11"/>
      <c r="C40" s="11"/>
      <c r="D40" s="11"/>
      <c r="E40" s="11"/>
      <c r="F40" s="11"/>
      <c r="G40" s="11"/>
      <c r="H40" s="11"/>
      <c r="I40" s="11"/>
      <c r="J40" s="11">
        <f>$F$35+3*'Ballistics Table'!A34/('Ballistics Table'!$S$6/$F$36)</f>
        <v>18185.30201254633</v>
      </c>
      <c r="K40" s="9"/>
      <c r="L40" s="11">
        <f t="shared" si="1"/>
        <v>16906.5</v>
      </c>
      <c r="M40" s="11">
        <f t="shared" si="2"/>
        <v>-17.8388</v>
      </c>
      <c r="N40" s="11">
        <f t="shared" si="3"/>
        <v>0.0325134</v>
      </c>
      <c r="O40" s="11">
        <f t="shared" si="4"/>
        <v>8.27886</v>
      </c>
      <c r="P40" s="11">
        <f t="shared" si="5"/>
        <v>-0.01884</v>
      </c>
      <c r="Q40" s="11">
        <f t="shared" si="6"/>
        <v>4.41677E-05</v>
      </c>
      <c r="R40" s="11">
        <f>O40+P40*('Ballistics Table'!B34-S40)+Q40*('Ballistics Table'!B34-S40)^2</f>
        <v>9.6900685325</v>
      </c>
      <c r="S40" s="11">
        <f t="shared" si="7"/>
        <v>950</v>
      </c>
      <c r="T40" s="11">
        <f>('Ballistics Table'!$S$6/$F$36)*(R40-$F$34)</f>
        <v>3.692592804460366</v>
      </c>
      <c r="U40" s="11">
        <f>14.0069+6.59285*(('Ballistics Table'!B34/'Ballistics Table'!$S$4)-0.65)-1.94051*(('Ballistics Table'!B34/'Ballistics Table'!$S$4)-0.65)^2</f>
        <v>11.598941877158811</v>
      </c>
      <c r="V40" s="9"/>
      <c r="W40" s="9"/>
      <c r="X40" s="9"/>
      <c r="Y40" s="9"/>
      <c r="Z40" s="9"/>
    </row>
    <row r="41" spans="1:26" ht="12">
      <c r="A41" s="11"/>
      <c r="B41" s="11"/>
      <c r="C41" s="11"/>
      <c r="D41" s="11"/>
      <c r="E41" s="11"/>
      <c r="F41" s="11"/>
      <c r="G41" s="11"/>
      <c r="H41" s="11"/>
      <c r="I41" s="11"/>
      <c r="J41" s="11">
        <f>$F$35+3*'Ballistics Table'!A35/('Ballistics Table'!$S$6/$F$36)</f>
        <v>18534.300309646478</v>
      </c>
      <c r="K41" s="9"/>
      <c r="L41" s="11">
        <f t="shared" si="1"/>
        <v>19020.1</v>
      </c>
      <c r="M41" s="11">
        <f t="shared" si="2"/>
        <v>-24.4588</v>
      </c>
      <c r="N41" s="11">
        <f t="shared" si="3"/>
        <v>0.0330303</v>
      </c>
      <c r="O41" s="11">
        <f t="shared" si="4"/>
        <v>10.6366</v>
      </c>
      <c r="P41" s="11">
        <f t="shared" si="5"/>
        <v>-0.0288527</v>
      </c>
      <c r="Q41" s="11">
        <f t="shared" si="6"/>
        <v>5.58719E-05</v>
      </c>
      <c r="R41" s="11">
        <f>O41+P41*('Ballistics Table'!B35-S41)+Q41*('Ballistics Table'!B35-S41)^2</f>
        <v>10.081894759999999</v>
      </c>
      <c r="S41" s="11">
        <f t="shared" si="7"/>
        <v>850</v>
      </c>
      <c r="T41" s="11">
        <f>('Ballistics Table'!$S$6/$F$36)*(R41-$F$34)</f>
        <v>3.8768306201374405</v>
      </c>
      <c r="U41" s="11">
        <f>14.0069+6.59285*(('Ballistics Table'!B35/'Ballistics Table'!$S$4)-0.65)-1.94051*(('Ballistics Table'!B35/'Ballistics Table'!$S$4)-0.65)^2</f>
        <v>11.55648154616474</v>
      </c>
      <c r="V41" s="9"/>
      <c r="W41" s="9"/>
      <c r="X41" s="9"/>
      <c r="Y41" s="9"/>
      <c r="Z41" s="9"/>
    </row>
    <row r="42" spans="1:26" ht="12">
      <c r="A42" s="11"/>
      <c r="B42" s="11"/>
      <c r="C42" s="11"/>
      <c r="D42" s="11"/>
      <c r="E42" s="11"/>
      <c r="F42" s="11"/>
      <c r="G42" s="11"/>
      <c r="H42" s="11"/>
      <c r="I42" s="11"/>
      <c r="J42" s="11">
        <f>$F$35+3*'Ballistics Table'!A36/('Ballistics Table'!$S$6/$F$36)</f>
        <v>18883.298606746626</v>
      </c>
      <c r="K42" s="9"/>
      <c r="L42" s="11">
        <f t="shared" si="1"/>
        <v>19020.1</v>
      </c>
      <c r="M42" s="11">
        <f t="shared" si="2"/>
        <v>-24.4588</v>
      </c>
      <c r="N42" s="11">
        <f t="shared" si="3"/>
        <v>0.0330303</v>
      </c>
      <c r="O42" s="11">
        <f t="shared" si="4"/>
        <v>10.6366</v>
      </c>
      <c r="P42" s="11">
        <f t="shared" si="5"/>
        <v>-0.0288527</v>
      </c>
      <c r="Q42" s="11">
        <f t="shared" si="6"/>
        <v>5.58719E-05</v>
      </c>
      <c r="R42" s="11">
        <f>O42+P42*('Ballistics Table'!B36-S42)+Q42*('Ballistics Table'!B36-S42)^2</f>
        <v>10.4937332975</v>
      </c>
      <c r="S42" s="11">
        <f t="shared" si="7"/>
        <v>850</v>
      </c>
      <c r="T42" s="11">
        <f>('Ballistics Table'!$S$6/$F$36)*(R42-$F$34)</f>
        <v>4.070478281359</v>
      </c>
      <c r="U42" s="11">
        <f>14.0069+6.59285*(('Ballistics Table'!B36/'Ballistics Table'!$S$4)-0.65)-1.94051*(('Ballistics Table'!B36/'Ballistics Table'!$S$4)-0.65)^2</f>
        <v>11.513908941457336</v>
      </c>
      <c r="V42" s="9"/>
      <c r="W42" s="9"/>
      <c r="X42" s="9"/>
      <c r="Y42" s="9"/>
      <c r="Z42" s="9"/>
    </row>
    <row r="43" spans="1:26" ht="12">
      <c r="A43" s="11"/>
      <c r="B43" s="11"/>
      <c r="C43" s="11"/>
      <c r="D43" s="11"/>
      <c r="E43" s="11"/>
      <c r="F43" s="11"/>
      <c r="G43" s="11"/>
      <c r="H43" s="11"/>
      <c r="I43" s="11"/>
      <c r="J43" s="11">
        <f>$F$35+3*'Ballistics Table'!A37/('Ballistics Table'!$S$6/$F$36)</f>
        <v>19232.296903846775</v>
      </c>
      <c r="K43" s="9"/>
      <c r="L43" s="11">
        <f t="shared" si="1"/>
        <v>19020.1</v>
      </c>
      <c r="M43" s="11">
        <f t="shared" si="2"/>
        <v>-24.4588</v>
      </c>
      <c r="N43" s="11">
        <f t="shared" si="3"/>
        <v>0.0330303</v>
      </c>
      <c r="O43" s="11">
        <f t="shared" si="4"/>
        <v>10.6366</v>
      </c>
      <c r="P43" s="11">
        <f t="shared" si="5"/>
        <v>-0.0288527</v>
      </c>
      <c r="Q43" s="11">
        <f t="shared" si="6"/>
        <v>5.58719E-05</v>
      </c>
      <c r="R43" s="11">
        <f>O43+P43*('Ballistics Table'!B37-S43)+Q43*('Ballistics Table'!B37-S43)^2</f>
        <v>10.9007999239</v>
      </c>
      <c r="S43" s="11">
        <f t="shared" si="7"/>
        <v>850</v>
      </c>
      <c r="T43" s="11">
        <f>('Ballistics Table'!$S$6/$F$36)*(R43-$F$34)</f>
        <v>4.2618821762985535</v>
      </c>
      <c r="U43" s="11">
        <f>14.0069+6.59285*(('Ballistics Table'!B37/'Ballistics Table'!$S$4)-0.65)-1.94051*(('Ballistics Table'!B37/'Ballistics Table'!$S$4)-0.65)^2</f>
        <v>11.474073214557958</v>
      </c>
      <c r="V43" s="9"/>
      <c r="W43" s="9"/>
      <c r="X43" s="9"/>
      <c r="Y43" s="9"/>
      <c r="Z43" s="9"/>
    </row>
    <row r="44" spans="1:26" ht="12">
      <c r="A44" s="11"/>
      <c r="B44" s="11"/>
      <c r="C44" s="11"/>
      <c r="D44" s="11"/>
      <c r="E44" s="11"/>
      <c r="F44" s="11"/>
      <c r="G44" s="11"/>
      <c r="H44" s="11"/>
      <c r="I44" s="11"/>
      <c r="J44" s="11">
        <f>$F$35+3*'Ballistics Table'!A38/('Ballistics Table'!$S$6/$F$36)</f>
        <v>19581.295200946923</v>
      </c>
      <c r="K44" s="9"/>
      <c r="L44" s="11">
        <f t="shared" si="1"/>
        <v>19020.1</v>
      </c>
      <c r="M44" s="11">
        <f t="shared" si="2"/>
        <v>-24.4588</v>
      </c>
      <c r="N44" s="11">
        <f t="shared" si="3"/>
        <v>0.0330303</v>
      </c>
      <c r="O44" s="11">
        <f t="shared" si="4"/>
        <v>10.6366</v>
      </c>
      <c r="P44" s="11">
        <f t="shared" si="5"/>
        <v>-0.0288527</v>
      </c>
      <c r="Q44" s="11">
        <f t="shared" si="6"/>
        <v>5.58719E-05</v>
      </c>
      <c r="R44" s="11">
        <f>O44+P44*('Ballistics Table'!B38-S44)+Q44*('Ballistics Table'!B38-S44)^2</f>
        <v>11.329768335099999</v>
      </c>
      <c r="S44" s="11">
        <f t="shared" si="7"/>
        <v>850</v>
      </c>
      <c r="T44" s="11">
        <f>('Ballistics Table'!$S$6/$F$36)*(R44-$F$34)</f>
        <v>4.463584353251354</v>
      </c>
      <c r="U44" s="11">
        <f>14.0069+6.59285*(('Ballistics Table'!B38/'Ballistics Table'!$S$4)-0.65)-1.94051*(('Ballistics Table'!B38/'Ballistics Table'!$S$4)-0.65)^2</f>
        <v>11.43413968477941</v>
      </c>
      <c r="V44" s="9"/>
      <c r="W44" s="9"/>
      <c r="X44" s="9"/>
      <c r="Y44" s="9"/>
      <c r="Z44" s="9"/>
    </row>
    <row r="45" spans="1:26" ht="12">
      <c r="A45" s="11"/>
      <c r="B45" s="11"/>
      <c r="C45" s="11"/>
      <c r="D45" s="11"/>
      <c r="E45" s="11"/>
      <c r="F45" s="11"/>
      <c r="G45" s="11"/>
      <c r="H45" s="11"/>
      <c r="I45" s="11"/>
      <c r="J45" s="11">
        <f>$F$35+3*'Ballistics Table'!A39/('Ballistics Table'!$S$6/$F$36)</f>
        <v>19930.29349804707</v>
      </c>
      <c r="K45" s="9"/>
      <c r="L45" s="11">
        <f t="shared" si="1"/>
        <v>19020.1</v>
      </c>
      <c r="M45" s="11">
        <f t="shared" si="2"/>
        <v>-24.4588</v>
      </c>
      <c r="N45" s="11">
        <f t="shared" si="3"/>
        <v>0.0330303</v>
      </c>
      <c r="O45" s="11">
        <f t="shared" si="4"/>
        <v>10.6366</v>
      </c>
      <c r="P45" s="11">
        <f t="shared" si="5"/>
        <v>-0.0288527</v>
      </c>
      <c r="Q45" s="11">
        <f t="shared" si="6"/>
        <v>5.58719E-05</v>
      </c>
      <c r="R45" s="11">
        <f>O45+P45*('Ballistics Table'!B39-S45)+Q45*('Ballistics Table'!B39-S45)^2</f>
        <v>11.7477071824</v>
      </c>
      <c r="S45" s="11">
        <f t="shared" si="7"/>
        <v>850</v>
      </c>
      <c r="T45" s="11">
        <f>('Ballistics Table'!$S$6/$F$36)*(R45-$F$34)</f>
        <v>4.660100397632652</v>
      </c>
      <c r="U45" s="11">
        <f>14.0069+6.59285*(('Ballistics Table'!B39/'Ballistics Table'!$S$4)-0.65)-1.94051*(('Ballistics Table'!B39/'Ballistics Table'!$S$4)-0.65)^2</f>
        <v>11.396970976488646</v>
      </c>
      <c r="V45" s="9"/>
      <c r="W45" s="9"/>
      <c r="X45" s="9"/>
      <c r="Y45" s="9"/>
      <c r="Z45" s="9"/>
    </row>
    <row r="46" spans="1:26" ht="12">
      <c r="A46" s="11"/>
      <c r="B46" s="11"/>
      <c r="C46" s="11"/>
      <c r="D46" s="11"/>
      <c r="E46" s="11"/>
      <c r="F46" s="11"/>
      <c r="G46" s="11"/>
      <c r="H46" s="11"/>
      <c r="I46" s="11"/>
      <c r="J46" s="11">
        <f>$F$35+3*'Ballistics Table'!A40/('Ballistics Table'!$S$6/$F$36)</f>
        <v>20279.29179514722</v>
      </c>
      <c r="K46" s="9"/>
      <c r="L46" s="11">
        <f t="shared" si="1"/>
        <v>19020.1</v>
      </c>
      <c r="M46" s="11">
        <f t="shared" si="2"/>
        <v>-24.4588</v>
      </c>
      <c r="N46" s="11">
        <f t="shared" si="3"/>
        <v>0.0330303</v>
      </c>
      <c r="O46" s="11">
        <f t="shared" si="4"/>
        <v>10.6366</v>
      </c>
      <c r="P46" s="11">
        <f t="shared" si="5"/>
        <v>-0.0288527</v>
      </c>
      <c r="Q46" s="11">
        <f t="shared" si="6"/>
        <v>5.58719E-05</v>
      </c>
      <c r="R46" s="11">
        <f>O46+P46*('Ballistics Table'!B40-S46)+Q46*('Ballistics Table'!B40-S46)^2</f>
        <v>12.184530731899999</v>
      </c>
      <c r="S46" s="11">
        <f t="shared" si="7"/>
        <v>850</v>
      </c>
      <c r="T46" s="11">
        <f>('Ballistics Table'!$S$6/$F$36)*(R46-$F$34)</f>
        <v>4.865496083137616</v>
      </c>
      <c r="U46" s="11">
        <f>14.0069+6.59285*(('Ballistics Table'!B40/'Ballistics Table'!$S$4)-0.65)-1.94051*(('Ballistics Table'!B40/'Ballistics Table'!$S$4)-0.65)^2</f>
        <v>11.359717938164312</v>
      </c>
      <c r="V46" s="9"/>
      <c r="W46" s="9"/>
      <c r="X46" s="9"/>
      <c r="Y46" s="9"/>
      <c r="Z46" s="9"/>
    </row>
    <row r="47" spans="1:26" ht="12">
      <c r="A47" s="11"/>
      <c r="B47" s="11"/>
      <c r="C47" s="11"/>
      <c r="D47" s="11"/>
      <c r="E47" s="11"/>
      <c r="F47" s="11"/>
      <c r="G47" s="11"/>
      <c r="H47" s="11"/>
      <c r="I47" s="11"/>
      <c r="J47" s="11">
        <f>$F$35+3*'Ballistics Table'!A41/('Ballistics Table'!$S$6/$F$36)</f>
        <v>20628.290092247364</v>
      </c>
      <c r="K47" s="9"/>
      <c r="L47" s="11">
        <f t="shared" si="1"/>
        <v>19020.1</v>
      </c>
      <c r="M47" s="11">
        <f t="shared" si="2"/>
        <v>-24.4588</v>
      </c>
      <c r="N47" s="11">
        <f t="shared" si="3"/>
        <v>0.0330303</v>
      </c>
      <c r="O47" s="11">
        <f t="shared" si="4"/>
        <v>10.6366</v>
      </c>
      <c r="P47" s="11">
        <f t="shared" si="5"/>
        <v>-0.0288527</v>
      </c>
      <c r="Q47" s="11">
        <f t="shared" si="6"/>
        <v>5.58719E-05</v>
      </c>
      <c r="R47" s="11">
        <f>O47+P47*('Ballistics Table'!B41-S47)+Q47*('Ballistics Table'!B41-S47)^2</f>
        <v>12.6045140399</v>
      </c>
      <c r="S47" s="11">
        <f t="shared" si="7"/>
        <v>850</v>
      </c>
      <c r="T47" s="11">
        <f>('Ballistics Table'!$S$6/$F$36)*(R47-$F$34)</f>
        <v>5.062973438802259</v>
      </c>
      <c r="U47" s="11">
        <f>14.0069+6.59285*(('Ballistics Table'!B41/'Ballistics Table'!$S$4)-0.65)-1.94051*(('Ballistics Table'!B41/'Ballistics Table'!$S$4)-0.65)^2</f>
        <v>11.325255669030401</v>
      </c>
      <c r="V47" s="9"/>
      <c r="W47" s="9"/>
      <c r="X47" s="9"/>
      <c r="Y47" s="9"/>
      <c r="Z47" s="9"/>
    </row>
    <row r="48" spans="1:26" ht="12">
      <c r="A48" s="11"/>
      <c r="B48" s="11"/>
      <c r="C48" s="11"/>
      <c r="D48" s="11"/>
      <c r="E48" s="11"/>
      <c r="F48" s="11"/>
      <c r="G48" s="11"/>
      <c r="H48" s="11"/>
      <c r="I48" s="11"/>
      <c r="J48" s="11">
        <f>$F$35+3*'Ballistics Table'!A42/('Ballistics Table'!$S$6/$F$36)</f>
        <v>20977.28838934751</v>
      </c>
      <c r="K48" s="9"/>
      <c r="L48" s="11">
        <f t="shared" si="1"/>
        <v>21792</v>
      </c>
      <c r="M48" s="11">
        <f t="shared" si="2"/>
        <v>-30.896</v>
      </c>
      <c r="N48" s="11">
        <f t="shared" si="3"/>
        <v>0.0313196</v>
      </c>
      <c r="O48" s="11">
        <f t="shared" si="4"/>
        <v>14.1144</v>
      </c>
      <c r="P48" s="11">
        <f t="shared" si="5"/>
        <v>-0.041349</v>
      </c>
      <c r="Q48" s="11">
        <f t="shared" si="6"/>
        <v>6.9381E-05</v>
      </c>
      <c r="R48" s="11">
        <f>O48+P48*('Ballistics Table'!B42-S48)+Q48*('Ballistics Table'!B42-S48)^2</f>
        <v>13.048555749</v>
      </c>
      <c r="S48" s="11">
        <f t="shared" si="7"/>
        <v>750</v>
      </c>
      <c r="T48" s="11">
        <f>('Ballistics Table'!$S$6/$F$36)*(R48-$F$34)</f>
        <v>5.271763123648199</v>
      </c>
      <c r="U48" s="11">
        <f>14.0069+6.59285*(('Ballistics Table'!B42/'Ballistics Table'!$S$4)-0.65)-1.94051*(('Ballistics Table'!B42/'Ballistics Table'!$S$4)-0.65)^2</f>
        <v>11.290721544719958</v>
      </c>
      <c r="V48" s="9"/>
      <c r="W48" s="9"/>
      <c r="X48" s="9"/>
      <c r="Y48" s="9"/>
      <c r="Z48" s="9"/>
    </row>
    <row r="49" spans="1:26" ht="12">
      <c r="A49" s="11"/>
      <c r="B49" s="11"/>
      <c r="C49" s="11"/>
      <c r="D49" s="11"/>
      <c r="E49" s="11"/>
      <c r="F49" s="11"/>
      <c r="G49" s="11"/>
      <c r="H49" s="11"/>
      <c r="I49" s="11"/>
      <c r="J49" s="11">
        <f>$F$35+3*'Ballistics Table'!A43/('Ballistics Table'!$S$6/$F$36)</f>
        <v>21326.286686447656</v>
      </c>
      <c r="K49" s="9"/>
      <c r="L49" s="11">
        <f t="shared" si="1"/>
        <v>21792</v>
      </c>
      <c r="M49" s="11">
        <f t="shared" si="2"/>
        <v>-30.896</v>
      </c>
      <c r="N49" s="11">
        <f t="shared" si="3"/>
        <v>0.0313196</v>
      </c>
      <c r="O49" s="11">
        <f t="shared" si="4"/>
        <v>14.1144</v>
      </c>
      <c r="P49" s="11">
        <f t="shared" si="5"/>
        <v>-0.041349</v>
      </c>
      <c r="Q49" s="11">
        <f t="shared" si="6"/>
        <v>6.9381E-05</v>
      </c>
      <c r="R49" s="11">
        <f>O49+P49*('Ballistics Table'!B43-S49)+Q49*('Ballistics Table'!B43-S49)^2</f>
        <v>13.509775725</v>
      </c>
      <c r="S49" s="11">
        <f t="shared" si="7"/>
        <v>750</v>
      </c>
      <c r="T49" s="11">
        <f>('Ballistics Table'!$S$6/$F$36)*(R49-$F$34)</f>
        <v>5.488630078846786</v>
      </c>
      <c r="U49" s="11">
        <f>14.0069+6.59285*(('Ballistics Table'!B43/'Ballistics Table'!$S$4)-0.65)-1.94051*(('Ballistics Table'!B43/'Ballistics Table'!$S$4)-0.65)^2</f>
        <v>11.256115565232983</v>
      </c>
      <c r="V49" s="9"/>
      <c r="W49" s="9"/>
      <c r="X49" s="9"/>
      <c r="Y49" s="9"/>
      <c r="Z49" s="9"/>
    </row>
    <row r="50" spans="1:26" ht="12">
      <c r="A50" s="11"/>
      <c r="B50" s="11"/>
      <c r="C50" s="11"/>
      <c r="D50" s="11"/>
      <c r="E50" s="11"/>
      <c r="F50" s="11"/>
      <c r="G50" s="11"/>
      <c r="H50" s="11"/>
      <c r="I50" s="11"/>
      <c r="J50" s="11" t="e">
        <f>$F$35+3*'Ballistics Table'!A44/('Ballistics Table'!$S$6/$F$36)</f>
        <v>#VALUE!</v>
      </c>
      <c r="K50" s="9"/>
      <c r="L50" s="11">
        <f t="shared" si="1"/>
        <v>21792</v>
      </c>
      <c r="M50" s="11">
        <f t="shared" si="2"/>
        <v>-30.896</v>
      </c>
      <c r="N50" s="11">
        <f t="shared" si="3"/>
        <v>0.0313196</v>
      </c>
      <c r="O50" s="11">
        <f t="shared" si="4"/>
        <v>14.1144</v>
      </c>
      <c r="P50" s="11">
        <f t="shared" si="5"/>
        <v>-0.041349</v>
      </c>
      <c r="Q50" s="11">
        <f t="shared" si="6"/>
        <v>6.9381E-05</v>
      </c>
      <c r="R50" s="11" t="e">
        <f>O50+P50*('Ballistics Table'!B44-S50)+Q50*('Ballistics Table'!B44-S50)^2</f>
        <v>#VALUE!</v>
      </c>
      <c r="S50" s="11">
        <f t="shared" si="7"/>
        <v>750</v>
      </c>
      <c r="T50" s="11" t="e">
        <f>('Ballistics Table'!$S$6/$F$36)*(R50-$F$34)</f>
        <v>#VALUE!</v>
      </c>
      <c r="U50" s="11" t="e">
        <f>14.0069+6.59285*(('Ballistics Table'!B44/'Ballistics Table'!$S$4)-0.65)-1.94051*(('Ballistics Table'!B44/'Ballistics Table'!$S$4)-0.65)^2</f>
        <v>#VALUE!</v>
      </c>
      <c r="V50" s="9"/>
      <c r="W50" s="9"/>
      <c r="X50" s="9"/>
      <c r="Y50" s="9"/>
      <c r="Z50" s="9"/>
    </row>
    <row r="51" spans="1:26" ht="12">
      <c r="A51" s="11"/>
      <c r="B51" s="11"/>
      <c r="C51" s="11"/>
      <c r="D51" s="11"/>
      <c r="E51" s="11"/>
      <c r="F51" s="11"/>
      <c r="G51" s="11"/>
      <c r="H51" s="11"/>
      <c r="I51" s="11"/>
      <c r="J51" s="9"/>
      <c r="K51" s="9"/>
      <c r="L51" s="9"/>
      <c r="M51" s="11"/>
      <c r="N51" s="11"/>
      <c r="O51" s="11"/>
      <c r="P51" s="11"/>
      <c r="Q51" s="11"/>
      <c r="R51" s="11"/>
      <c r="S51" s="11"/>
      <c r="T51" s="11"/>
      <c r="U51" s="11"/>
      <c r="V51" s="9"/>
      <c r="W51" s="9"/>
      <c r="X51" s="9"/>
      <c r="Y51" s="9"/>
      <c r="Z51" s="9"/>
    </row>
    <row r="52" spans="1:26" ht="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>
      <c r="A60" s="9" t="s">
        <v>58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>
      <c r="A62" s="72"/>
      <c r="B62" s="10"/>
      <c r="C62" s="10" t="s">
        <v>54</v>
      </c>
      <c r="D62" s="11"/>
      <c r="E62" s="11"/>
      <c r="F62" s="11"/>
      <c r="G62" s="11"/>
      <c r="H62" s="11"/>
      <c r="I62" s="11" t="s">
        <v>50</v>
      </c>
      <c r="J62" s="11"/>
      <c r="K62" s="11"/>
      <c r="L62" s="11"/>
      <c r="M62" s="11"/>
      <c r="N62" s="11"/>
      <c r="O62" s="11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>
      <c r="A63" s="4" t="s">
        <v>52</v>
      </c>
      <c r="B63" s="12"/>
      <c r="C63" s="12" t="s">
        <v>55</v>
      </c>
      <c r="D63" s="11"/>
      <c r="E63" s="11"/>
      <c r="F63" s="11"/>
      <c r="G63" s="11"/>
      <c r="H63" s="11"/>
      <c r="I63" s="11" t="s">
        <v>44</v>
      </c>
      <c r="J63" s="11"/>
      <c r="K63" s="11" t="s">
        <v>44</v>
      </c>
      <c r="L63" s="11" t="s">
        <v>45</v>
      </c>
      <c r="M63" s="11" t="s">
        <v>45</v>
      </c>
      <c r="N63" s="11"/>
      <c r="O63" s="1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4" t="s">
        <v>53</v>
      </c>
      <c r="B64" s="12"/>
      <c r="C64" s="12" t="s">
        <v>56</v>
      </c>
      <c r="D64" s="11"/>
      <c r="E64" s="12" t="s">
        <v>42</v>
      </c>
      <c r="F64" s="12" t="s">
        <v>43</v>
      </c>
      <c r="G64" s="11" t="s">
        <v>51</v>
      </c>
      <c r="H64" s="11"/>
      <c r="I64" s="11" t="s">
        <v>46</v>
      </c>
      <c r="J64" s="11"/>
      <c r="K64" s="11" t="s">
        <v>47</v>
      </c>
      <c r="L64" s="11" t="s">
        <v>46</v>
      </c>
      <c r="M64" s="11" t="s">
        <v>47</v>
      </c>
      <c r="N64" s="11"/>
      <c r="O64" s="1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>
      <c r="A65" s="73" t="e">
        <f>IF(SUM(#REF!+#REF!)&gt;0,ABS(VLOOKUP(D65,$I$75:$L$86,4)+ABS(G65))," ")</f>
        <v>#REF!</v>
      </c>
      <c r="B65" s="13" t="e">
        <f>VLOOKUP(#REF!,I75:J86,2)</f>
        <v>#REF!</v>
      </c>
      <c r="C65" s="13" t="e">
        <f>IF(A65+B65&gt;360,(A65+B65)-360,A65+B65)</f>
        <v>#REF!</v>
      </c>
      <c r="D65" s="14" t="e">
        <f aca="true" t="shared" si="8" ref="D65:D87">IF(E65&lt;0,IF(F65&gt;0,VLOOKUP(ABS(G65),$I$65:$M$69,2),VLOOKUP(ABS(G65),$I$65:$M$69,3)),IF(F65&gt;0,VLOOKUP(ABS(G65),$I$65:$M$69,4),VLOOKUP(ABS(G65),$I$65:$M$69,5)))</f>
        <v>#REF!</v>
      </c>
      <c r="E65" s="11" t="e">
        <f>IF((#REF!+#REF!)&gt;0,#REF!-#REF!,)</f>
        <v>#REF!</v>
      </c>
      <c r="F65" s="11" t="e">
        <f>IF((#REF!+#REF!)&gt;0,#REF!-#REF!,)</f>
        <v>#REF!</v>
      </c>
      <c r="G65" s="11" t="e">
        <f aca="true" t="shared" si="9" ref="G65:G87">DEGREES(ATAN(F65/E65))</f>
        <v>#REF!</v>
      </c>
      <c r="H65" s="15" t="e">
        <f>ABS((360-(VLOOKUP(D65,$I$75:$J$86,2)))-VLOOKUP(#REF!,$I$75:$J$86,2))</f>
        <v>#REF!</v>
      </c>
      <c r="I65" s="11">
        <v>0</v>
      </c>
      <c r="J65" s="11">
        <v>9</v>
      </c>
      <c r="K65" s="11">
        <v>9</v>
      </c>
      <c r="L65" s="11">
        <v>3</v>
      </c>
      <c r="M65" s="11">
        <v>3</v>
      </c>
      <c r="N65" s="11"/>
      <c r="O65" s="1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>
      <c r="A66" s="73" t="e">
        <f>IF(SUM(#REF!+#REF!)&gt;0,ABS(VLOOKUP(D66,$I$75:$L$86,4)+ABS(G66))," ")</f>
        <v>#REF!</v>
      </c>
      <c r="B66" s="13"/>
      <c r="C66" s="13" t="e">
        <f>IF((#REF!+#REF!+#REF!)&gt;0,IF($C$65+(360-A66)&gt;360,$C$65+(360-A66)-360,$C$65+(360-A66)),)</f>
        <v>#REF!</v>
      </c>
      <c r="D66" s="14" t="e">
        <f t="shared" si="8"/>
        <v>#REF!</v>
      </c>
      <c r="E66" s="11" t="e">
        <f>IF((#REF!+#REF!)&gt;0,#REF!-#REF!,)</f>
        <v>#REF!</v>
      </c>
      <c r="F66" s="11" t="e">
        <f>IF((#REF!+#REF!)&gt;0,#REF!-#REF!,)</f>
        <v>#REF!</v>
      </c>
      <c r="G66" s="11" t="e">
        <f t="shared" si="9"/>
        <v>#REF!</v>
      </c>
      <c r="H66" s="15" t="e">
        <f>$H$65-VLOOKUP(D66,$I$75:$J$86,2)</f>
        <v>#REF!</v>
      </c>
      <c r="I66" s="11">
        <v>11.25</v>
      </c>
      <c r="J66" s="11">
        <v>10</v>
      </c>
      <c r="K66" s="11">
        <v>7</v>
      </c>
      <c r="L66" s="11">
        <v>2</v>
      </c>
      <c r="M66" s="11">
        <v>4</v>
      </c>
      <c r="N66" s="11"/>
      <c r="O66" s="11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>
      <c r="A67" s="73" t="e">
        <f>IF(SUM(#REF!+#REF!)&gt;0,ABS(VLOOKUP(D67,$I$75:$L$86,4)+ABS(G67))," ")</f>
        <v>#REF!</v>
      </c>
      <c r="B67" s="13"/>
      <c r="C67" s="13" t="e">
        <f>IF((#REF!+#REF!+#REF!)&gt;0,IF($C$65+(360-A67)&gt;360,$C$65+(360-A67)-360,$C$65+(360-A67)),)</f>
        <v>#REF!</v>
      </c>
      <c r="D67" s="14" t="e">
        <f t="shared" si="8"/>
        <v>#REF!</v>
      </c>
      <c r="E67" s="11" t="e">
        <f>IF((#REF!+#REF!)&gt;0,#REF!-#REF!,)</f>
        <v>#REF!</v>
      </c>
      <c r="F67" s="11" t="e">
        <f>IF((#REF!+#REF!)&gt;0,#REF!-#REF!,)</f>
        <v>#REF!</v>
      </c>
      <c r="G67" s="11" t="e">
        <f t="shared" si="9"/>
        <v>#REF!</v>
      </c>
      <c r="H67" s="15" t="e">
        <f aca="true" t="shared" si="10" ref="H67:H87">($H$65-VLOOKUP(D67,$I$75:$J$86,2))</f>
        <v>#REF!</v>
      </c>
      <c r="I67" s="11">
        <v>45</v>
      </c>
      <c r="J67" s="11">
        <v>11</v>
      </c>
      <c r="K67" s="11">
        <v>8</v>
      </c>
      <c r="L67" s="11">
        <v>1</v>
      </c>
      <c r="M67" s="11">
        <v>5</v>
      </c>
      <c r="N67" s="11"/>
      <c r="O67" s="1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>
      <c r="A68" s="73" t="e">
        <f>IF(SUM(#REF!+#REF!)&gt;0,ABS(VLOOKUP(D68,$I$75:$L$86,4)+ABS(G68))," ")</f>
        <v>#REF!</v>
      </c>
      <c r="B68" s="13"/>
      <c r="C68" s="13" t="e">
        <f>IF((#REF!+#REF!+#REF!)&gt;0,IF($C$65+(360-A68)&gt;360,$C$65+(360-A68)-360,$C$65+(360-A68)),)</f>
        <v>#REF!</v>
      </c>
      <c r="D68" s="14" t="e">
        <f t="shared" si="8"/>
        <v>#REF!</v>
      </c>
      <c r="E68" s="11" t="e">
        <f>IF((#REF!+#REF!)&gt;0,#REF!-#REF!,)</f>
        <v>#REF!</v>
      </c>
      <c r="F68" s="11" t="e">
        <f>IF((#REF!+#REF!)&gt;0,#REF!-#REF!,)</f>
        <v>#REF!</v>
      </c>
      <c r="G68" s="11" t="e">
        <f t="shared" si="9"/>
        <v>#REF!</v>
      </c>
      <c r="H68" s="15" t="e">
        <f t="shared" si="10"/>
        <v>#REF!</v>
      </c>
      <c r="I68" s="11">
        <v>78.75</v>
      </c>
      <c r="J68" s="11">
        <v>12</v>
      </c>
      <c r="K68" s="11">
        <v>6</v>
      </c>
      <c r="L68" s="11">
        <v>12</v>
      </c>
      <c r="M68" s="11">
        <v>6</v>
      </c>
      <c r="N68" s="11"/>
      <c r="O68" s="11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>
      <c r="A69" s="73" t="e">
        <f>IF(SUM(#REF!+#REF!)&gt;0,ABS(VLOOKUP(D69,$I$75:$L$86,4)+ABS(G69))," ")</f>
        <v>#REF!</v>
      </c>
      <c r="B69" s="13"/>
      <c r="C69" s="13" t="e">
        <f>IF((#REF!+#REF!+#REF!)&gt;0,IF($C$65+(360-A69)&gt;360,$C$65+(360-A69)-360,$C$65+(360-A69)),)</f>
        <v>#REF!</v>
      </c>
      <c r="D69" s="14" t="e">
        <f t="shared" si="8"/>
        <v>#REF!</v>
      </c>
      <c r="E69" s="11" t="e">
        <f>IF((#REF!+#REF!)&gt;0,#REF!-#REF!,)</f>
        <v>#REF!</v>
      </c>
      <c r="F69" s="11" t="e">
        <f>IF((#REF!+#REF!)&gt;0,#REF!-#REF!,)</f>
        <v>#REF!</v>
      </c>
      <c r="G69" s="11" t="e">
        <f t="shared" si="9"/>
        <v>#REF!</v>
      </c>
      <c r="H69" s="15" t="e">
        <f t="shared" si="10"/>
        <v>#REF!</v>
      </c>
      <c r="I69" s="11">
        <v>90</v>
      </c>
      <c r="J69" s="11">
        <v>12</v>
      </c>
      <c r="K69" s="11">
        <v>6</v>
      </c>
      <c r="L69" s="11">
        <v>12</v>
      </c>
      <c r="M69" s="11">
        <v>6</v>
      </c>
      <c r="N69" s="11"/>
      <c r="O69" s="11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>
      <c r="A70" s="73" t="e">
        <f>IF(SUM(#REF!+#REF!)&gt;0,ABS(VLOOKUP(D70,$I$75:$L$86,4)+ABS(G70))," ")</f>
        <v>#REF!</v>
      </c>
      <c r="B70" s="13"/>
      <c r="C70" s="13" t="e">
        <f>IF((#REF!+#REF!+#REF!)&gt;0,IF($C$65+(360-A70)&gt;360,$C$65+(360-A70)-360,$C$65+(360-A70)),)</f>
        <v>#REF!</v>
      </c>
      <c r="D70" s="14" t="e">
        <f t="shared" si="8"/>
        <v>#REF!</v>
      </c>
      <c r="E70" s="11" t="e">
        <f>IF((#REF!+#REF!)&gt;0,#REF!-#REF!,)</f>
        <v>#REF!</v>
      </c>
      <c r="F70" s="11" t="e">
        <f>IF((#REF!+#REF!)&gt;0,#REF!-#REF!,)</f>
        <v>#REF!</v>
      </c>
      <c r="G70" s="11" t="e">
        <f t="shared" si="9"/>
        <v>#REF!</v>
      </c>
      <c r="H70" s="15" t="e">
        <f t="shared" si="10"/>
        <v>#REF!</v>
      </c>
      <c r="I70" s="11"/>
      <c r="J70" s="11"/>
      <c r="K70" s="11"/>
      <c r="L70" s="11"/>
      <c r="M70" s="11"/>
      <c r="N70" s="11"/>
      <c r="O70" s="11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>
      <c r="A71" s="73" t="e">
        <f>IF(SUM(#REF!+#REF!)&gt;0,ABS(VLOOKUP(D71,$I$75:$L$86,4)+ABS(G71))," ")</f>
        <v>#REF!</v>
      </c>
      <c r="B71" s="13"/>
      <c r="C71" s="13" t="e">
        <f>IF((#REF!+#REF!+#REF!)&gt;0,IF($C$65+(360-A71)&gt;360,$C$65+(360-A71)-360,$C$65+(360-A71)),)</f>
        <v>#REF!</v>
      </c>
      <c r="D71" s="14" t="e">
        <f t="shared" si="8"/>
        <v>#REF!</v>
      </c>
      <c r="E71" s="11" t="e">
        <f>IF((#REF!+#REF!)&gt;0,#REF!-#REF!,)</f>
        <v>#REF!</v>
      </c>
      <c r="F71" s="11" t="e">
        <f>IF((#REF!+#REF!)&gt;0,#REF!-#REF!,)</f>
        <v>#REF!</v>
      </c>
      <c r="G71" s="11" t="e">
        <f t="shared" si="9"/>
        <v>#REF!</v>
      </c>
      <c r="H71" s="15" t="e">
        <f t="shared" si="10"/>
        <v>#REF!</v>
      </c>
      <c r="I71" s="11" t="s">
        <v>48</v>
      </c>
      <c r="J71" s="11">
        <v>270</v>
      </c>
      <c r="K71" s="11">
        <v>180</v>
      </c>
      <c r="L71" s="11">
        <v>0</v>
      </c>
      <c r="M71" s="11">
        <v>90</v>
      </c>
      <c r="N71" s="11"/>
      <c r="O71" s="11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>
      <c r="A72" s="73" t="e">
        <f>IF(SUM(#REF!+#REF!)&gt;0,ABS(VLOOKUP(D72,$I$75:$L$86,4)+ABS(G72))," ")</f>
        <v>#REF!</v>
      </c>
      <c r="B72" s="13"/>
      <c r="C72" s="13" t="e">
        <f>IF((#REF!+#REF!+#REF!)&gt;0,IF($C$65+(360-A72)&gt;360,$C$65+(360-A72)-360,$C$65+(360-A72)),)</f>
        <v>#REF!</v>
      </c>
      <c r="D72" s="14" t="e">
        <f t="shared" si="8"/>
        <v>#REF!</v>
      </c>
      <c r="E72" s="11" t="e">
        <f>IF((#REF!+#REF!)&gt;0,#REF!-#REF!,)</f>
        <v>#REF!</v>
      </c>
      <c r="F72" s="11" t="e">
        <f>IF((#REF!+#REF!)&gt;0,#REF!-#REF!,)</f>
        <v>#REF!</v>
      </c>
      <c r="G72" s="11" t="e">
        <f t="shared" si="9"/>
        <v>#REF!</v>
      </c>
      <c r="H72" s="15" t="e">
        <f t="shared" si="10"/>
        <v>#REF!</v>
      </c>
      <c r="I72" s="11"/>
      <c r="J72" s="11"/>
      <c r="K72" s="11"/>
      <c r="L72" s="11"/>
      <c r="M72" s="11"/>
      <c r="N72" s="11"/>
      <c r="O72" s="11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>
      <c r="A73" s="73" t="e">
        <f>IF(SUM(#REF!+#REF!)&gt;0,ABS(VLOOKUP(D73,$I$75:$L$86,4)+ABS(G73))," ")</f>
        <v>#REF!</v>
      </c>
      <c r="B73" s="13"/>
      <c r="C73" s="13" t="e">
        <f>IF((#REF!+#REF!+#REF!)&gt;0,IF($C$65+(360-A73)&gt;360,$C$65+(360-A73)-360,$C$65+(360-A73)),)</f>
        <v>#REF!</v>
      </c>
      <c r="D73" s="14" t="e">
        <f t="shared" si="8"/>
        <v>#REF!</v>
      </c>
      <c r="E73" s="11" t="e">
        <f>IF((#REF!+#REF!)&gt;0,#REF!-#REF!,)</f>
        <v>#REF!</v>
      </c>
      <c r="F73" s="11" t="e">
        <f>IF((#REF!+#REF!)&gt;0,#REF!-#REF!,)</f>
        <v>#REF!</v>
      </c>
      <c r="G73" s="11" t="e">
        <f t="shared" si="9"/>
        <v>#REF!</v>
      </c>
      <c r="H73" s="15" t="e">
        <f t="shared" si="10"/>
        <v>#REF!</v>
      </c>
      <c r="I73" s="11"/>
      <c r="J73" s="11" t="s">
        <v>49</v>
      </c>
      <c r="K73" s="11"/>
      <c r="L73" s="11"/>
      <c r="M73" s="11"/>
      <c r="N73" s="11"/>
      <c r="O73" s="11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>
      <c r="A74" s="73" t="e">
        <f>IF(SUM(#REF!+#REF!)&gt;0,ABS(VLOOKUP(D74,$I$75:$L$86,4)+ABS(G74))," ")</f>
        <v>#REF!</v>
      </c>
      <c r="B74" s="13"/>
      <c r="C74" s="13" t="e">
        <f>IF((#REF!+#REF!+#REF!)&gt;0,IF($C$65+(360-A74)&gt;360,$C$65+(360-A74)-360,$C$65+(360-A74)),)</f>
        <v>#REF!</v>
      </c>
      <c r="D74" s="14" t="e">
        <f t="shared" si="8"/>
        <v>#REF!</v>
      </c>
      <c r="E74" s="11" t="e">
        <f>IF((#REF!+#REF!)&gt;0,#REF!-#REF!,)</f>
        <v>#REF!</v>
      </c>
      <c r="F74" s="11" t="e">
        <f>IF((#REF!+#REF!)&gt;0,#REF!-#REF!,)</f>
        <v>#REF!</v>
      </c>
      <c r="G74" s="11" t="e">
        <f t="shared" si="9"/>
        <v>#REF!</v>
      </c>
      <c r="H74" s="15" t="e">
        <f t="shared" si="10"/>
        <v>#REF!</v>
      </c>
      <c r="I74" s="11" t="s">
        <v>48</v>
      </c>
      <c r="J74" s="11">
        <v>0</v>
      </c>
      <c r="K74" s="11">
        <v>12</v>
      </c>
      <c r="L74" s="11">
        <v>-90</v>
      </c>
      <c r="M74" s="11"/>
      <c r="N74" s="11">
        <v>0</v>
      </c>
      <c r="O74" s="11">
        <v>12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>
      <c r="A75" s="73" t="e">
        <f>IF(SUM(#REF!+#REF!)&gt;0,ABS(VLOOKUP(D75,$I$75:$L$86,4)+ABS(G75))," ")</f>
        <v>#REF!</v>
      </c>
      <c r="B75" s="13"/>
      <c r="C75" s="13" t="e">
        <f>IF((#REF!+#REF!+#REF!)&gt;0,IF($C$65+(360-A75)&gt;360,$C$65+(360-A75)-360,$C$65+(360-A75)),)</f>
        <v>#REF!</v>
      </c>
      <c r="D75" s="14" t="e">
        <f t="shared" si="8"/>
        <v>#REF!</v>
      </c>
      <c r="E75" s="11" t="e">
        <f>IF((#REF!+#REF!)&gt;0,#REF!-#REF!,)</f>
        <v>#REF!</v>
      </c>
      <c r="F75" s="11" t="e">
        <f>IF((#REF!+#REF!)&gt;0,#REF!-#REF!,)</f>
        <v>#REF!</v>
      </c>
      <c r="G75" s="11" t="e">
        <f t="shared" si="9"/>
        <v>#REF!</v>
      </c>
      <c r="H75" s="15" t="e">
        <f t="shared" si="10"/>
        <v>#REF!</v>
      </c>
      <c r="I75" s="11">
        <v>1</v>
      </c>
      <c r="J75" s="11">
        <v>30</v>
      </c>
      <c r="K75" s="11">
        <v>1</v>
      </c>
      <c r="L75" s="11">
        <v>-90</v>
      </c>
      <c r="M75" s="11"/>
      <c r="N75" s="11">
        <v>15</v>
      </c>
      <c r="O75" s="11">
        <v>1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>
      <c r="A76" s="73" t="e">
        <f>IF(SUM(#REF!+#REF!)&gt;0,ABS(VLOOKUP(D76,$I$75:$L$86,4)+ABS(G76))," ")</f>
        <v>#REF!</v>
      </c>
      <c r="B76" s="13"/>
      <c r="C76" s="13" t="e">
        <f>IF((#REF!+#REF!+#REF!)&gt;0,IF($C$65+(360-A76)&gt;360,$C$65+(360-A76)-360,$C$65+(360-A76)),)</f>
        <v>#REF!</v>
      </c>
      <c r="D76" s="14" t="e">
        <f t="shared" si="8"/>
        <v>#REF!</v>
      </c>
      <c r="E76" s="11" t="e">
        <f>IF((#REF!+#REF!)&gt;0,#REF!-#REF!,)</f>
        <v>#REF!</v>
      </c>
      <c r="F76" s="11" t="e">
        <f>IF((#REF!+#REF!)&gt;0,#REF!-#REF!,)</f>
        <v>#REF!</v>
      </c>
      <c r="G76" s="11" t="e">
        <f t="shared" si="9"/>
        <v>#REF!</v>
      </c>
      <c r="H76" s="15" t="e">
        <f t="shared" si="10"/>
        <v>#REF!</v>
      </c>
      <c r="I76" s="11">
        <v>2</v>
      </c>
      <c r="J76" s="11">
        <v>60</v>
      </c>
      <c r="K76" s="11">
        <v>2</v>
      </c>
      <c r="L76" s="11">
        <v>-90</v>
      </c>
      <c r="M76" s="11"/>
      <c r="N76" s="11">
        <v>45</v>
      </c>
      <c r="O76" s="11">
        <v>2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>
      <c r="A77" s="73" t="e">
        <f>IF(SUM(#REF!+#REF!)&gt;0,ABS(VLOOKUP(D77,$I$75:$L$86,4)+ABS(G77))," ")</f>
        <v>#REF!</v>
      </c>
      <c r="B77" s="13"/>
      <c r="C77" s="13" t="e">
        <f>IF((#REF!+#REF!+#REF!)&gt;0,IF($C$65+(360-A77)&gt;360,$C$65+(360-A77)-360,$C$65+(360-A77)),)</f>
        <v>#REF!</v>
      </c>
      <c r="D77" s="14" t="e">
        <f t="shared" si="8"/>
        <v>#REF!</v>
      </c>
      <c r="E77" s="11" t="e">
        <f>IF((#REF!+#REF!)&gt;0,#REF!-#REF!,)</f>
        <v>#REF!</v>
      </c>
      <c r="F77" s="11" t="e">
        <f>IF((#REF!+#REF!)&gt;0,#REF!-#REF!,)</f>
        <v>#REF!</v>
      </c>
      <c r="G77" s="11" t="e">
        <f t="shared" si="9"/>
        <v>#REF!</v>
      </c>
      <c r="H77" s="15" t="e">
        <f t="shared" si="10"/>
        <v>#REF!</v>
      </c>
      <c r="I77" s="11">
        <v>3</v>
      </c>
      <c r="J77" s="11">
        <v>90</v>
      </c>
      <c r="K77" s="11">
        <v>3</v>
      </c>
      <c r="L77" s="11">
        <v>90</v>
      </c>
      <c r="M77" s="11"/>
      <c r="N77" s="11">
        <v>75</v>
      </c>
      <c r="O77" s="11">
        <v>3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>
      <c r="A78" s="73" t="e">
        <f>IF(SUM(#REF!+#REF!)&gt;0,ABS(VLOOKUP(D78,$I$75:$L$86,4)+ABS(G78))," ")</f>
        <v>#REF!</v>
      </c>
      <c r="B78" s="13"/>
      <c r="C78" s="13" t="e">
        <f>IF((#REF!+#REF!+#REF!)&gt;0,IF($C$65+(360-A78)&gt;360,$C$65+(360-A78)-360,$C$65+(360-A78)),)</f>
        <v>#REF!</v>
      </c>
      <c r="D78" s="14" t="e">
        <f t="shared" si="8"/>
        <v>#REF!</v>
      </c>
      <c r="E78" s="11" t="e">
        <f>IF((#REF!+#REF!)&gt;0,#REF!-#REF!,)</f>
        <v>#REF!</v>
      </c>
      <c r="F78" s="11" t="e">
        <f>IF((#REF!+#REF!)&gt;0,#REF!-#REF!,)</f>
        <v>#REF!</v>
      </c>
      <c r="G78" s="11" t="e">
        <f t="shared" si="9"/>
        <v>#REF!</v>
      </c>
      <c r="H78" s="15" t="e">
        <f t="shared" si="10"/>
        <v>#REF!</v>
      </c>
      <c r="I78" s="11">
        <v>4</v>
      </c>
      <c r="J78" s="11">
        <v>120</v>
      </c>
      <c r="K78" s="11">
        <v>4</v>
      </c>
      <c r="L78" s="11">
        <v>90</v>
      </c>
      <c r="M78" s="11"/>
      <c r="N78" s="11">
        <v>105</v>
      </c>
      <c r="O78" s="11">
        <v>4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>
      <c r="A79" s="73" t="e">
        <f>IF(SUM(#REF!+#REF!)&gt;0,ABS(VLOOKUP(D79,$I$75:$L$86,4)+ABS(G79))," ")</f>
        <v>#REF!</v>
      </c>
      <c r="B79" s="13"/>
      <c r="C79" s="13" t="e">
        <f>IF((#REF!+#REF!+#REF!)&gt;0,IF($C$65+(360-A79)&gt;360,$C$65+(360-A79)-360,$C$65+(360-A79)),)</f>
        <v>#REF!</v>
      </c>
      <c r="D79" s="14" t="e">
        <f t="shared" si="8"/>
        <v>#REF!</v>
      </c>
      <c r="E79" s="11" t="e">
        <f>IF((#REF!+#REF!)&gt;0,#REF!-#REF!,)</f>
        <v>#REF!</v>
      </c>
      <c r="F79" s="11" t="e">
        <f>IF((#REF!+#REF!)&gt;0,#REF!-#REF!,)</f>
        <v>#REF!</v>
      </c>
      <c r="G79" s="11" t="e">
        <f t="shared" si="9"/>
        <v>#REF!</v>
      </c>
      <c r="H79" s="15" t="e">
        <f t="shared" si="10"/>
        <v>#REF!</v>
      </c>
      <c r="I79" s="11">
        <v>5</v>
      </c>
      <c r="J79" s="11">
        <v>150</v>
      </c>
      <c r="K79" s="11">
        <v>5</v>
      </c>
      <c r="L79" s="11">
        <v>90</v>
      </c>
      <c r="M79" s="11"/>
      <c r="N79" s="11">
        <v>135</v>
      </c>
      <c r="O79" s="11">
        <v>5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>
      <c r="A80" s="73" t="e">
        <f>IF(SUM(#REF!+#REF!)&gt;0,ABS(VLOOKUP(D80,$I$75:$L$86,4)+ABS(G80))," ")</f>
        <v>#REF!</v>
      </c>
      <c r="B80" s="13"/>
      <c r="C80" s="13" t="e">
        <f>IF((#REF!+#REF!+#REF!)&gt;0,IF($C$65+(360-A80)&gt;360,$C$65+(360-A80)-360,$C$65+(360-A80)),)</f>
        <v>#REF!</v>
      </c>
      <c r="D80" s="14" t="e">
        <f t="shared" si="8"/>
        <v>#REF!</v>
      </c>
      <c r="E80" s="11" t="e">
        <f>IF((#REF!+#REF!)&gt;0,#REF!-#REF!,)</f>
        <v>#REF!</v>
      </c>
      <c r="F80" s="11" t="e">
        <f>IF((#REF!+#REF!)&gt;0,#REF!-#REF!,)</f>
        <v>#REF!</v>
      </c>
      <c r="G80" s="11" t="e">
        <f t="shared" si="9"/>
        <v>#REF!</v>
      </c>
      <c r="H80" s="15" t="e">
        <f t="shared" si="10"/>
        <v>#REF!</v>
      </c>
      <c r="I80" s="11">
        <v>6</v>
      </c>
      <c r="J80" s="11">
        <v>180</v>
      </c>
      <c r="K80" s="11">
        <v>6</v>
      </c>
      <c r="L80" s="11">
        <v>-270</v>
      </c>
      <c r="M80" s="11"/>
      <c r="N80" s="11">
        <v>165</v>
      </c>
      <c r="O80" s="11">
        <v>6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>
      <c r="A81" s="73" t="e">
        <f>IF(SUM(#REF!+#REF!)&gt;0,ABS(VLOOKUP(D81,$I$75:$L$86,4)+ABS(G81))," ")</f>
        <v>#REF!</v>
      </c>
      <c r="B81" s="13"/>
      <c r="C81" s="13" t="e">
        <f>IF((#REF!+#REF!+#REF!)&gt;0,IF($C$65+(360-A81)&gt;360,$C$65+(360-A81)-360,$C$65+(360-A81)),)</f>
        <v>#REF!</v>
      </c>
      <c r="D81" s="14" t="e">
        <f t="shared" si="8"/>
        <v>#REF!</v>
      </c>
      <c r="E81" s="11" t="e">
        <f>IF((#REF!+#REF!)&gt;0,#REF!-#REF!,)</f>
        <v>#REF!</v>
      </c>
      <c r="F81" s="11" t="e">
        <f>IF((#REF!+#REF!)&gt;0,#REF!-#REF!,)</f>
        <v>#REF!</v>
      </c>
      <c r="G81" s="11" t="e">
        <f t="shared" si="9"/>
        <v>#REF!</v>
      </c>
      <c r="H81" s="15" t="e">
        <f t="shared" si="10"/>
        <v>#REF!</v>
      </c>
      <c r="I81" s="11">
        <v>7</v>
      </c>
      <c r="J81" s="11">
        <v>210</v>
      </c>
      <c r="K81" s="11">
        <v>7</v>
      </c>
      <c r="L81" s="11">
        <v>-270</v>
      </c>
      <c r="M81" s="11"/>
      <c r="N81" s="11">
        <v>195</v>
      </c>
      <c r="O81" s="11">
        <v>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>
      <c r="A82" s="73" t="e">
        <f>IF(SUM(#REF!+#REF!)&gt;0,ABS(VLOOKUP(D82,$I$75:$L$86,4)+ABS(G82))," ")</f>
        <v>#REF!</v>
      </c>
      <c r="B82" s="13"/>
      <c r="C82" s="13" t="e">
        <f>IF((#REF!+#REF!+#REF!)&gt;0,IF($C$65+(360-A82)&gt;360,$C$65+(360-A82)-360,$C$65+(360-A82)),)</f>
        <v>#REF!</v>
      </c>
      <c r="D82" s="14" t="e">
        <f t="shared" si="8"/>
        <v>#REF!</v>
      </c>
      <c r="E82" s="11" t="e">
        <f>IF((#REF!+#REF!)&gt;0,#REF!-#REF!,)</f>
        <v>#REF!</v>
      </c>
      <c r="F82" s="11" t="e">
        <f>IF((#REF!+#REF!)&gt;0,#REF!-#REF!,)</f>
        <v>#REF!</v>
      </c>
      <c r="G82" s="11" t="e">
        <f t="shared" si="9"/>
        <v>#REF!</v>
      </c>
      <c r="H82" s="15" t="e">
        <f t="shared" si="10"/>
        <v>#REF!</v>
      </c>
      <c r="I82" s="11">
        <v>8</v>
      </c>
      <c r="J82" s="11">
        <v>240</v>
      </c>
      <c r="K82" s="11">
        <v>8</v>
      </c>
      <c r="L82" s="11">
        <v>-270</v>
      </c>
      <c r="M82" s="11"/>
      <c r="N82" s="11">
        <v>225</v>
      </c>
      <c r="O82" s="11">
        <v>8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>
      <c r="A83" s="73" t="e">
        <f>IF(SUM(#REF!+#REF!)&gt;0,ABS(VLOOKUP(D83,$I$75:$L$86,4)+ABS(G83))," ")</f>
        <v>#REF!</v>
      </c>
      <c r="B83" s="13"/>
      <c r="C83" s="13" t="e">
        <f>IF((#REF!+#REF!+#REF!)&gt;0,IF($C$65+(360-A83)&gt;360,$C$65+(360-A83)-360,$C$65+(360-A83)),)</f>
        <v>#REF!</v>
      </c>
      <c r="D83" s="14" t="e">
        <f t="shared" si="8"/>
        <v>#REF!</v>
      </c>
      <c r="E83" s="11" t="e">
        <f>IF((#REF!+#REF!)&gt;0,#REF!-#REF!,)</f>
        <v>#REF!</v>
      </c>
      <c r="F83" s="11" t="e">
        <f>IF((#REF!+#REF!)&gt;0,#REF!-#REF!,)</f>
        <v>#REF!</v>
      </c>
      <c r="G83" s="11" t="e">
        <f t="shared" si="9"/>
        <v>#REF!</v>
      </c>
      <c r="H83" s="15" t="e">
        <f t="shared" si="10"/>
        <v>#REF!</v>
      </c>
      <c r="I83" s="11">
        <v>9</v>
      </c>
      <c r="J83" s="11">
        <v>270</v>
      </c>
      <c r="K83" s="11">
        <v>9</v>
      </c>
      <c r="L83" s="11">
        <v>270</v>
      </c>
      <c r="M83" s="11"/>
      <c r="N83" s="11">
        <v>255</v>
      </c>
      <c r="O83" s="11">
        <v>9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>
      <c r="A84" s="73" t="e">
        <f>IF(SUM(#REF!+#REF!)&gt;0,ABS(VLOOKUP(D84,$I$75:$L$86,4)+ABS(G84))," ")</f>
        <v>#REF!</v>
      </c>
      <c r="B84" s="13"/>
      <c r="C84" s="13" t="e">
        <f>IF((#REF!+#REF!+#REF!)&gt;0,IF($C$65+(360-A84)&gt;360,$C$65+(360-A84)-360,$C$65+(360-A84)),)</f>
        <v>#REF!</v>
      </c>
      <c r="D84" s="14" t="e">
        <f t="shared" si="8"/>
        <v>#REF!</v>
      </c>
      <c r="E84" s="11" t="e">
        <f>IF((#REF!+#REF!)&gt;0,#REF!-#REF!,)</f>
        <v>#REF!</v>
      </c>
      <c r="F84" s="11" t="e">
        <f>IF((#REF!+#REF!)&gt;0,#REF!-#REF!,)</f>
        <v>#REF!</v>
      </c>
      <c r="G84" s="11" t="e">
        <f t="shared" si="9"/>
        <v>#REF!</v>
      </c>
      <c r="H84" s="15" t="e">
        <f t="shared" si="10"/>
        <v>#REF!</v>
      </c>
      <c r="I84" s="11">
        <v>10</v>
      </c>
      <c r="J84" s="11">
        <v>300</v>
      </c>
      <c r="K84" s="11">
        <v>10</v>
      </c>
      <c r="L84" s="11">
        <v>270</v>
      </c>
      <c r="M84" s="11"/>
      <c r="N84" s="11">
        <v>285</v>
      </c>
      <c r="O84" s="11">
        <v>10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>
      <c r="A85" s="73" t="e">
        <f>IF(SUM(#REF!+#REF!)&gt;0,ABS(VLOOKUP(D85,$I$75:$L$86,4)+ABS(G85))," ")</f>
        <v>#REF!</v>
      </c>
      <c r="B85" s="13"/>
      <c r="C85" s="13" t="e">
        <f>IF((#REF!+#REF!+#REF!)&gt;0,IF($C$65+(360-A85)&gt;360,$C$65+(360-A85)-360,$C$65+(360-A85)),)</f>
        <v>#REF!</v>
      </c>
      <c r="D85" s="14" t="e">
        <f t="shared" si="8"/>
        <v>#REF!</v>
      </c>
      <c r="E85" s="11" t="e">
        <f>IF((#REF!+#REF!)&gt;0,#REF!-#REF!,)</f>
        <v>#REF!</v>
      </c>
      <c r="F85" s="11" t="e">
        <f>IF((#REF!+#REF!)&gt;0,#REF!-#REF!,)</f>
        <v>#REF!</v>
      </c>
      <c r="G85" s="11" t="e">
        <f t="shared" si="9"/>
        <v>#REF!</v>
      </c>
      <c r="H85" s="15" t="e">
        <f t="shared" si="10"/>
        <v>#REF!</v>
      </c>
      <c r="I85" s="11">
        <v>11</v>
      </c>
      <c r="J85" s="11">
        <v>330</v>
      </c>
      <c r="K85" s="11">
        <v>11</v>
      </c>
      <c r="L85" s="11">
        <v>270</v>
      </c>
      <c r="M85" s="11"/>
      <c r="N85" s="11">
        <v>315</v>
      </c>
      <c r="O85" s="11">
        <v>11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>
      <c r="A86" s="73" t="e">
        <f>IF(SUM(#REF!+#REF!)&gt;0,ABS(VLOOKUP(D86,$I$75:$L$86,4)+ABS(G86))," ")</f>
        <v>#REF!</v>
      </c>
      <c r="B86" s="13"/>
      <c r="C86" s="13" t="e">
        <f>IF((#REF!+#REF!+#REF!)&gt;0,IF($C$65+(360-A86)&gt;360,$C$65+(360-A86)-360,$C$65+(360-A86)),)</f>
        <v>#REF!</v>
      </c>
      <c r="D86" s="14" t="e">
        <f t="shared" si="8"/>
        <v>#REF!</v>
      </c>
      <c r="E86" s="11" t="e">
        <f>IF((#REF!+#REF!)&gt;0,#REF!-#REF!,)</f>
        <v>#REF!</v>
      </c>
      <c r="F86" s="11" t="e">
        <f>IF((#REF!+#REF!)&gt;0,#REF!-#REF!,)</f>
        <v>#REF!</v>
      </c>
      <c r="G86" s="11" t="e">
        <f t="shared" si="9"/>
        <v>#REF!</v>
      </c>
      <c r="H86" s="15" t="e">
        <f t="shared" si="10"/>
        <v>#REF!</v>
      </c>
      <c r="I86" s="11">
        <v>12</v>
      </c>
      <c r="J86" s="11">
        <v>360</v>
      </c>
      <c r="K86" s="11">
        <v>12</v>
      </c>
      <c r="L86" s="11">
        <v>-90</v>
      </c>
      <c r="M86" s="11"/>
      <c r="N86" s="11">
        <v>345</v>
      </c>
      <c r="O86" s="11">
        <v>12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>
      <c r="A87" s="73" t="e">
        <f>IF(SUM(#REF!+#REF!)&gt;0,ABS(VLOOKUP(D87,$I$75:$L$86,4)+ABS(G87))," ")</f>
        <v>#REF!</v>
      </c>
      <c r="B87" s="13"/>
      <c r="C87" s="13" t="e">
        <f>IF((#REF!+#REF!+#REF!)&gt;0,IF($C$65+(360-A87)&gt;360,$C$65+(360-A87)-360,$C$65+(360-A87)),)</f>
        <v>#REF!</v>
      </c>
      <c r="D87" s="14" t="e">
        <f t="shared" si="8"/>
        <v>#REF!</v>
      </c>
      <c r="E87" s="11" t="e">
        <f>IF((#REF!+#REF!)&gt;0,#REF!-#REF!,)</f>
        <v>#REF!</v>
      </c>
      <c r="F87" s="11" t="e">
        <f>IF((#REF!+#REF!)&gt;0,#REF!-#REF!,)</f>
        <v>#REF!</v>
      </c>
      <c r="G87" s="11" t="e">
        <f t="shared" si="9"/>
        <v>#REF!</v>
      </c>
      <c r="H87" s="15" t="e">
        <f t="shared" si="10"/>
        <v>#REF!</v>
      </c>
      <c r="I87" s="11">
        <v>0</v>
      </c>
      <c r="J87" s="11" t="s">
        <v>48</v>
      </c>
      <c r="K87" s="11" t="s">
        <v>48</v>
      </c>
      <c r="L87" s="11"/>
      <c r="M87" s="11"/>
      <c r="N87" s="11"/>
      <c r="O87" s="1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>
      <c r="A88" s="73" t="e">
        <f>IF(SUM(#REF!+#REF!)&gt;0,ABS(VLOOKUP(D88,$I$75:$L$86,4)+ABS(G88))," ")</f>
        <v>#REF!</v>
      </c>
      <c r="B88" s="13"/>
      <c r="C88" s="13" t="e">
        <f>IF((#REF!+#REF!+#REF!)&gt;0,IF($C$65+(360-A88)&gt;360,$C$65+(360-A88)-360,$C$65+(360-A88)),)</f>
        <v>#REF!</v>
      </c>
      <c r="D88" s="14" t="e">
        <f aca="true" t="shared" si="11" ref="D88:D94">IF(E88&lt;0,IF(F88&gt;0,VLOOKUP(ABS(G88),$I$65:$M$69,2),VLOOKUP(ABS(G88),$I$65:$M$69,3)),IF(F88&gt;0,VLOOKUP(ABS(G88),$I$65:$M$69,4),VLOOKUP(ABS(G88),$I$65:$M$69,5)))</f>
        <v>#REF!</v>
      </c>
      <c r="E88" s="11" t="e">
        <f>IF((#REF!+#REF!)&gt;0,#REF!-#REF!,)</f>
        <v>#REF!</v>
      </c>
      <c r="F88" s="11" t="e">
        <f>IF((#REF!+#REF!)&gt;0,#REF!-#REF!,)</f>
        <v>#REF!</v>
      </c>
      <c r="G88" s="11" t="e">
        <f aca="true" t="shared" si="12" ref="G88:G94">DEGREES(ATAN(F88/E88))</f>
        <v>#REF!</v>
      </c>
      <c r="H88" s="15" t="e">
        <f aca="true" t="shared" si="13" ref="H88:H94">($H$65-VLOOKUP(D88,$I$75:$J$86,2))</f>
        <v>#REF!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>
      <c r="A89" s="73" t="e">
        <f>IF(SUM(#REF!+#REF!)&gt;0,ABS(VLOOKUP(D89,$I$75:$L$86,4)+ABS(G89))," ")</f>
        <v>#REF!</v>
      </c>
      <c r="B89" s="13"/>
      <c r="C89" s="13" t="e">
        <f>IF((#REF!+#REF!+#REF!)&gt;0,IF($C$65+(360-A89)&gt;360,$C$65+(360-A89)-360,$C$65+(360-A89)),)</f>
        <v>#REF!</v>
      </c>
      <c r="D89" s="14" t="e">
        <f t="shared" si="11"/>
        <v>#REF!</v>
      </c>
      <c r="E89" s="11" t="e">
        <f>IF((#REF!+#REF!)&gt;0,#REF!-#REF!,)</f>
        <v>#REF!</v>
      </c>
      <c r="F89" s="11" t="e">
        <f>IF((#REF!+#REF!)&gt;0,#REF!-#REF!,)</f>
        <v>#REF!</v>
      </c>
      <c r="G89" s="11" t="e">
        <f t="shared" si="12"/>
        <v>#REF!</v>
      </c>
      <c r="H89" s="15" t="e">
        <f t="shared" si="13"/>
        <v>#REF!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>
      <c r="A90" s="73" t="e">
        <f>IF(SUM(#REF!+#REF!)&gt;0,ABS(VLOOKUP(D90,$I$75:$L$86,4)+ABS(G90))," ")</f>
        <v>#REF!</v>
      </c>
      <c r="B90" s="13"/>
      <c r="C90" s="13" t="e">
        <f>IF((#REF!+#REF!+#REF!)&gt;0,IF($C$65+(360-A90)&gt;360,$C$65+(360-A90)-360,$C$65+(360-A90)),)</f>
        <v>#REF!</v>
      </c>
      <c r="D90" s="14" t="e">
        <f t="shared" si="11"/>
        <v>#REF!</v>
      </c>
      <c r="E90" s="11" t="e">
        <f>IF((#REF!+#REF!)&gt;0,#REF!-#REF!,)</f>
        <v>#REF!</v>
      </c>
      <c r="F90" s="11" t="e">
        <f>IF((#REF!+#REF!)&gt;0,#REF!-#REF!,)</f>
        <v>#REF!</v>
      </c>
      <c r="G90" s="11" t="e">
        <f t="shared" si="12"/>
        <v>#REF!</v>
      </c>
      <c r="H90" s="15" t="e">
        <f t="shared" si="13"/>
        <v>#REF!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>
      <c r="A91" s="73" t="e">
        <f>IF(SUM(#REF!+#REF!)&gt;0,ABS(VLOOKUP(D91,$I$75:$L$86,4)+ABS(G91))," ")</f>
        <v>#REF!</v>
      </c>
      <c r="B91" s="13"/>
      <c r="C91" s="13" t="e">
        <f>IF((#REF!+#REF!+#REF!)&gt;0,IF($C$65+(360-A91)&gt;360,$C$65+(360-A91)-360,$C$65+(360-A91)),)</f>
        <v>#REF!</v>
      </c>
      <c r="D91" s="14" t="e">
        <f t="shared" si="11"/>
        <v>#REF!</v>
      </c>
      <c r="E91" s="11" t="e">
        <f>IF((#REF!+#REF!)&gt;0,#REF!-#REF!,)</f>
        <v>#REF!</v>
      </c>
      <c r="F91" s="11" t="e">
        <f>IF((#REF!+#REF!)&gt;0,#REF!-#REF!,)</f>
        <v>#REF!</v>
      </c>
      <c r="G91" s="11" t="e">
        <f t="shared" si="12"/>
        <v>#REF!</v>
      </c>
      <c r="H91" s="15" t="e">
        <f t="shared" si="13"/>
        <v>#REF!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>
      <c r="A92" s="73" t="e">
        <f>IF(SUM(#REF!+#REF!)&gt;0,ABS(VLOOKUP(D92,$I$75:$L$86,4)+ABS(G92))," ")</f>
        <v>#REF!</v>
      </c>
      <c r="B92" s="13"/>
      <c r="C92" s="13" t="e">
        <f>IF((#REF!+#REF!+#REF!)&gt;0,IF($C$65+(360-A92)&gt;360,$C$65+(360-A92)-360,$C$65+(360-A92)),)</f>
        <v>#REF!</v>
      </c>
      <c r="D92" s="14" t="e">
        <f t="shared" si="11"/>
        <v>#REF!</v>
      </c>
      <c r="E92" s="11" t="e">
        <f>IF((#REF!+#REF!)&gt;0,#REF!-#REF!,)</f>
        <v>#REF!</v>
      </c>
      <c r="F92" s="11" t="e">
        <f>IF((#REF!+#REF!)&gt;0,#REF!-#REF!,)</f>
        <v>#REF!</v>
      </c>
      <c r="G92" s="11" t="e">
        <f t="shared" si="12"/>
        <v>#REF!</v>
      </c>
      <c r="H92" s="15" t="e">
        <f t="shared" si="13"/>
        <v>#REF!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>
      <c r="A93" s="73" t="e">
        <f>IF(SUM(#REF!+#REF!)&gt;0,ABS(VLOOKUP(D93,$I$75:$L$86,4)+ABS(G93))," ")</f>
        <v>#REF!</v>
      </c>
      <c r="B93" s="13"/>
      <c r="C93" s="13" t="e">
        <f>IF((#REF!+#REF!+#REF!)&gt;0,IF($C$65+(360-A93)&gt;360,$C$65+(360-A93)-360,$C$65+(360-A93)),)</f>
        <v>#REF!</v>
      </c>
      <c r="D93" s="14" t="e">
        <f t="shared" si="11"/>
        <v>#REF!</v>
      </c>
      <c r="E93" s="11" t="e">
        <f>IF((#REF!+#REF!)&gt;0,#REF!-#REF!,)</f>
        <v>#REF!</v>
      </c>
      <c r="F93" s="11" t="e">
        <f>IF((#REF!+#REF!)&gt;0,#REF!-#REF!,)</f>
        <v>#REF!</v>
      </c>
      <c r="G93" s="11" t="e">
        <f t="shared" si="12"/>
        <v>#REF!</v>
      </c>
      <c r="H93" s="15" t="e">
        <f t="shared" si="13"/>
        <v>#REF!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>
      <c r="A94" s="73" t="e">
        <f>IF(SUM(#REF!+#REF!)&gt;0,ABS(VLOOKUP(D94,$I$75:$L$86,4)+ABS(G94))," ")</f>
        <v>#REF!</v>
      </c>
      <c r="B94" s="13"/>
      <c r="C94" s="13" t="e">
        <f>IF((#REF!+#REF!+#REF!)&gt;0,IF($C$65+(360-A94)&gt;360,$C$65+(360-A94)-360,$C$65+(360-A94)),)</f>
        <v>#REF!</v>
      </c>
      <c r="D94" s="14" t="e">
        <f t="shared" si="11"/>
        <v>#REF!</v>
      </c>
      <c r="E94" s="11" t="e">
        <f>IF((#REF!+#REF!)&gt;0,#REF!-#REF!,)</f>
        <v>#REF!</v>
      </c>
      <c r="F94" s="11" t="e">
        <f>IF((#REF!+#REF!)&gt;0,#REF!-#REF!,)</f>
        <v>#REF!</v>
      </c>
      <c r="G94" s="11" t="e">
        <f t="shared" si="12"/>
        <v>#REF!</v>
      </c>
      <c r="H94" s="15" t="e">
        <f t="shared" si="13"/>
        <v>#REF!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">
      <c r="A101" s="9" t="s">
        <v>59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>
      <c r="A104" s="10"/>
      <c r="B104" s="10" t="s">
        <v>54</v>
      </c>
      <c r="C104" s="11"/>
      <c r="D104" s="11"/>
      <c r="E104" s="11"/>
      <c r="F104" s="11"/>
      <c r="G104" s="11"/>
      <c r="H104" s="11"/>
      <c r="I104" s="11"/>
      <c r="J104" s="11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>
      <c r="A105" s="12"/>
      <c r="B105" s="12" t="s">
        <v>55</v>
      </c>
      <c r="C105" s="11"/>
      <c r="D105" s="11"/>
      <c r="E105" s="11"/>
      <c r="F105" s="11"/>
      <c r="G105" s="11"/>
      <c r="H105" s="11"/>
      <c r="I105" s="11"/>
      <c r="J105" s="11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>
      <c r="A106" s="12"/>
      <c r="B106" s="12" t="s">
        <v>56</v>
      </c>
      <c r="C106" s="11"/>
      <c r="D106" s="11"/>
      <c r="E106" s="11"/>
      <c r="F106" s="11"/>
      <c r="G106" s="11"/>
      <c r="H106" s="11"/>
      <c r="I106" s="11"/>
      <c r="J106" s="11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>
      <c r="A107" s="13" t="e">
        <f>VLOOKUP(#REF!,D117:E128,2)</f>
        <v>#REF!</v>
      </c>
      <c r="B107" s="13" t="e">
        <f>IF(#REF!+A107&gt;360,(#REF!+A107)-360,#REF!+A107)</f>
        <v>#REF!</v>
      </c>
      <c r="C107" s="11"/>
      <c r="D107" s="11"/>
      <c r="E107" s="19"/>
      <c r="F107" s="18"/>
      <c r="G107" s="15"/>
      <c r="H107" s="11"/>
      <c r="I107" s="11"/>
      <c r="J107" s="11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>
      <c r="A108" s="13"/>
      <c r="B108" s="13" t="e">
        <f>IF((#REF!+#REF!+#REF!)&gt;0,IF($B$107+(360-#REF!)&gt;360,$B$107+(360-#REF!)-360,$B$107+(360-#REF!)),)</f>
        <v>#REF!</v>
      </c>
      <c r="C108" s="11"/>
      <c r="D108" s="11"/>
      <c r="E108" s="11"/>
      <c r="F108" s="11"/>
      <c r="G108" s="11"/>
      <c r="H108" s="11"/>
      <c r="I108" s="11"/>
      <c r="J108" s="11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>
      <c r="A109" s="13"/>
      <c r="B109" s="13" t="e">
        <f>IF((#REF!+#REF!+#REF!)&gt;0,IF($B$107+(360-#REF!)&gt;360,$B$107+(360-#REF!)-360,$B$107+(360-#REF!)),)</f>
        <v>#REF!</v>
      </c>
      <c r="C109" s="11"/>
      <c r="D109" s="11"/>
      <c r="E109" s="11"/>
      <c r="F109" s="11"/>
      <c r="G109" s="11"/>
      <c r="H109" s="11"/>
      <c r="I109" s="11"/>
      <c r="J109" s="11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>
      <c r="A110" s="13"/>
      <c r="B110" s="13" t="e">
        <f>IF((#REF!+#REF!+#REF!)&gt;0,IF($B$107+(360-#REF!)&gt;360,$B$107+(360-#REF!)-360,$B$107+(360-#REF!)),)</f>
        <v>#REF!</v>
      </c>
      <c r="C110" s="11"/>
      <c r="D110" s="11"/>
      <c r="E110" s="11"/>
      <c r="F110" s="11"/>
      <c r="G110" s="11"/>
      <c r="H110" s="11"/>
      <c r="I110" s="11"/>
      <c r="J110" s="11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>
      <c r="A111" s="13"/>
      <c r="B111" s="13" t="e">
        <f>IF((#REF!+#REF!+#REF!)&gt;0,IF($B$107+(360-#REF!)&gt;360,$B$107+(360-#REF!)-360,$B$107+(360-#REF!)),)</f>
        <v>#REF!</v>
      </c>
      <c r="C111" s="11"/>
      <c r="D111" s="11"/>
      <c r="E111" s="11"/>
      <c r="F111" s="11"/>
      <c r="G111" s="11"/>
      <c r="H111" s="11"/>
      <c r="I111" s="11"/>
      <c r="J111" s="11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>
      <c r="A112" s="13"/>
      <c r="B112" s="13" t="e">
        <f>IF((#REF!+#REF!+#REF!)&gt;0,IF($B$107+(360-#REF!)&gt;360,$B$107+(360-#REF!)-360,$B$107+(360-#REF!)),)</f>
        <v>#REF!</v>
      </c>
      <c r="C112" s="11"/>
      <c r="D112" s="11"/>
      <c r="E112" s="11"/>
      <c r="F112" s="11"/>
      <c r="G112" s="11"/>
      <c r="H112" s="11"/>
      <c r="I112" s="11"/>
      <c r="J112" s="11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>
      <c r="A113" s="13"/>
      <c r="B113" s="13" t="e">
        <f>IF((#REF!+#REF!+#REF!)&gt;0,IF($B$107+(360-#REF!)&gt;360,$B$107+(360-#REF!)-360,$B$107+(360-#REF!)),)</f>
        <v>#REF!</v>
      </c>
      <c r="C113" s="11"/>
      <c r="D113" s="11"/>
      <c r="E113" s="11"/>
      <c r="F113" s="11"/>
      <c r="G113" s="11"/>
      <c r="H113" s="11"/>
      <c r="I113" s="11"/>
      <c r="J113" s="11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>
      <c r="A114" s="13"/>
      <c r="B114" s="13" t="e">
        <f>IF((#REF!+#REF!+#REF!)&gt;0,IF($B$107+(360-#REF!)&gt;360,$B$107+(360-#REF!)-360,$B$107+(360-#REF!)),)</f>
        <v>#REF!</v>
      </c>
      <c r="C114" s="11"/>
      <c r="D114" s="11"/>
      <c r="E114" s="11"/>
      <c r="F114" s="11"/>
      <c r="G114" s="11"/>
      <c r="H114" s="11"/>
      <c r="I114" s="11"/>
      <c r="J114" s="11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>
      <c r="A115" s="13"/>
      <c r="B115" s="13" t="e">
        <f>IF((#REF!+#REF!+#REF!)&gt;0,IF($B$107+(360-#REF!)&gt;360,$B$107+(360-#REF!)-360,$B$107+(360-#REF!)),)</f>
        <v>#REF!</v>
      </c>
      <c r="C115" s="11"/>
      <c r="D115" s="11"/>
      <c r="E115" s="11" t="s">
        <v>49</v>
      </c>
      <c r="F115" s="11"/>
      <c r="G115" s="11"/>
      <c r="H115" s="11"/>
      <c r="I115" s="11"/>
      <c r="J115" s="11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>
      <c r="A116" s="13"/>
      <c r="B116" s="13" t="e">
        <f>IF((#REF!+#REF!+#REF!)&gt;0,IF($B$107+(360-#REF!)&gt;360,$B$107+(360-#REF!)-360,$B$107+(360-#REF!)),)</f>
        <v>#REF!</v>
      </c>
      <c r="C116" s="11"/>
      <c r="D116" s="11" t="s">
        <v>48</v>
      </c>
      <c r="E116" s="11">
        <v>0</v>
      </c>
      <c r="F116" s="11">
        <v>12</v>
      </c>
      <c r="G116" s="11">
        <v>-90</v>
      </c>
      <c r="H116" s="11"/>
      <c r="I116" s="11">
        <v>0</v>
      </c>
      <c r="J116" s="11">
        <v>12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>
      <c r="A117" s="13"/>
      <c r="B117" s="13" t="e">
        <f>IF((#REF!+#REF!+#REF!)&gt;0,IF($B$107+(360-#REF!)&gt;360,$B$107+(360-#REF!)-360,$B$107+(360-#REF!)),)</f>
        <v>#REF!</v>
      </c>
      <c r="C117" s="11"/>
      <c r="D117" s="11">
        <v>1</v>
      </c>
      <c r="E117" s="11">
        <v>30</v>
      </c>
      <c r="F117" s="11">
        <v>1</v>
      </c>
      <c r="G117" s="11">
        <v>-90</v>
      </c>
      <c r="H117" s="11"/>
      <c r="I117" s="11">
        <v>15</v>
      </c>
      <c r="J117" s="11">
        <v>1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>
      <c r="A118" s="13"/>
      <c r="B118" s="13" t="e">
        <f>IF((#REF!+#REF!+#REF!)&gt;0,IF($B$107+(360-#REF!)&gt;360,$B$107+(360-#REF!)-360,$B$107+(360-#REF!)),)</f>
        <v>#REF!</v>
      </c>
      <c r="C118" s="11"/>
      <c r="D118" s="11">
        <v>2</v>
      </c>
      <c r="E118" s="11">
        <v>60</v>
      </c>
      <c r="F118" s="11">
        <v>2</v>
      </c>
      <c r="G118" s="11">
        <v>-90</v>
      </c>
      <c r="H118" s="11"/>
      <c r="I118" s="11">
        <v>45</v>
      </c>
      <c r="J118" s="11">
        <v>2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>
      <c r="A119" s="13"/>
      <c r="B119" s="13" t="e">
        <f>IF((#REF!+#REF!+#REF!)&gt;0,IF($B$107+(360-#REF!)&gt;360,$B$107+(360-#REF!)-360,$B$107+(360-#REF!)),)</f>
        <v>#REF!</v>
      </c>
      <c r="C119" s="11"/>
      <c r="D119" s="11">
        <v>3</v>
      </c>
      <c r="E119" s="11">
        <v>90</v>
      </c>
      <c r="F119" s="11">
        <v>3</v>
      </c>
      <c r="G119" s="11">
        <v>90</v>
      </c>
      <c r="H119" s="11"/>
      <c r="I119" s="11">
        <v>75</v>
      </c>
      <c r="J119" s="11">
        <v>3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>
      <c r="A120" s="13"/>
      <c r="B120" s="13" t="e">
        <f>IF((#REF!+#REF!+#REF!)&gt;0,IF($B$107+(360-#REF!)&gt;360,$B$107+(360-#REF!)-360,$B$107+(360-#REF!)),)</f>
        <v>#REF!</v>
      </c>
      <c r="C120" s="11"/>
      <c r="D120" s="11">
        <v>4</v>
      </c>
      <c r="E120" s="11">
        <v>120</v>
      </c>
      <c r="F120" s="11">
        <v>4</v>
      </c>
      <c r="G120" s="11">
        <v>90</v>
      </c>
      <c r="H120" s="11"/>
      <c r="I120" s="11">
        <v>105</v>
      </c>
      <c r="J120" s="11">
        <v>4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>
      <c r="A121" s="13"/>
      <c r="B121" s="13" t="e">
        <f>IF((#REF!+#REF!+#REF!)&gt;0,IF($B$107+(360-#REF!)&gt;360,$B$107+(360-#REF!)-360,$B$107+(360-#REF!)),)</f>
        <v>#REF!</v>
      </c>
      <c r="C121" s="11"/>
      <c r="D121" s="11">
        <v>5</v>
      </c>
      <c r="E121" s="11">
        <v>150</v>
      </c>
      <c r="F121" s="11">
        <v>5</v>
      </c>
      <c r="G121" s="11">
        <v>90</v>
      </c>
      <c r="H121" s="11"/>
      <c r="I121" s="11">
        <v>135</v>
      </c>
      <c r="J121" s="11">
        <v>5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>
      <c r="A122" s="13"/>
      <c r="B122" s="13" t="e">
        <f>IF((#REF!+#REF!+#REF!)&gt;0,IF($B$107+(360-#REF!)&gt;360,$B$107+(360-#REF!)-360,$B$107+(360-#REF!)),)</f>
        <v>#REF!</v>
      </c>
      <c r="C122" s="11"/>
      <c r="D122" s="11">
        <v>6</v>
      </c>
      <c r="E122" s="11">
        <v>180</v>
      </c>
      <c r="F122" s="11">
        <v>6</v>
      </c>
      <c r="G122" s="11">
        <v>-270</v>
      </c>
      <c r="H122" s="11"/>
      <c r="I122" s="11">
        <v>165</v>
      </c>
      <c r="J122" s="11">
        <v>6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>
      <c r="A123" s="13"/>
      <c r="B123" s="13" t="e">
        <f>IF((#REF!+#REF!+#REF!)&gt;0,IF($B$107+(360-#REF!)&gt;360,$B$107+(360-#REF!)-360,$B$107+(360-#REF!)),)</f>
        <v>#REF!</v>
      </c>
      <c r="C123" s="11"/>
      <c r="D123" s="11">
        <v>7</v>
      </c>
      <c r="E123" s="11">
        <v>210</v>
      </c>
      <c r="F123" s="11">
        <v>7</v>
      </c>
      <c r="G123" s="11">
        <v>-270</v>
      </c>
      <c r="H123" s="11"/>
      <c r="I123" s="11">
        <v>195</v>
      </c>
      <c r="J123" s="11">
        <v>7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>
      <c r="A124" s="13"/>
      <c r="B124" s="13" t="e">
        <f>IF((#REF!+#REF!+#REF!)&gt;0,IF($B$107+(360-#REF!)&gt;360,$B$107+(360-#REF!)-360,$B$107+(360-#REF!)),)</f>
        <v>#REF!</v>
      </c>
      <c r="C124" s="11"/>
      <c r="D124" s="11">
        <v>8</v>
      </c>
      <c r="E124" s="11">
        <v>240</v>
      </c>
      <c r="F124" s="11">
        <v>8</v>
      </c>
      <c r="G124" s="11">
        <v>-270</v>
      </c>
      <c r="H124" s="11"/>
      <c r="I124" s="11">
        <v>225</v>
      </c>
      <c r="J124" s="11">
        <v>8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>
      <c r="A125" s="13"/>
      <c r="B125" s="13" t="e">
        <f>IF((#REF!+#REF!+#REF!)&gt;0,IF($B$107+(360-#REF!)&gt;360,$B$107+(360-#REF!)-360,$B$107+(360-#REF!)),)</f>
        <v>#REF!</v>
      </c>
      <c r="C125" s="11"/>
      <c r="D125" s="11">
        <v>9</v>
      </c>
      <c r="E125" s="11">
        <v>270</v>
      </c>
      <c r="F125" s="11">
        <v>9</v>
      </c>
      <c r="G125" s="11">
        <v>270</v>
      </c>
      <c r="H125" s="11"/>
      <c r="I125" s="11">
        <v>255</v>
      </c>
      <c r="J125" s="11">
        <v>9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>
      <c r="A126" s="13"/>
      <c r="B126" s="13" t="e">
        <f>IF((#REF!+#REF!+#REF!)&gt;0,IF($B$107+(360-#REF!)&gt;360,$B$107+(360-#REF!)-360,$B$107+(360-#REF!)),)</f>
        <v>#REF!</v>
      </c>
      <c r="C126" s="11"/>
      <c r="D126" s="11">
        <v>10</v>
      </c>
      <c r="E126" s="11">
        <v>300</v>
      </c>
      <c r="F126" s="11">
        <v>10</v>
      </c>
      <c r="G126" s="11">
        <v>270</v>
      </c>
      <c r="H126" s="11"/>
      <c r="I126" s="11">
        <v>285</v>
      </c>
      <c r="J126" s="11">
        <v>10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>
      <c r="A127" s="13"/>
      <c r="B127" s="13" t="e">
        <f>IF((#REF!+#REF!+#REF!)&gt;0,IF($B$107+(360-#REF!)&gt;360,$B$107+(360-#REF!)-360,$B$107+(360-#REF!)),)</f>
        <v>#REF!</v>
      </c>
      <c r="C127" s="11"/>
      <c r="D127" s="11">
        <v>11</v>
      </c>
      <c r="E127" s="11">
        <v>330</v>
      </c>
      <c r="F127" s="11">
        <v>11</v>
      </c>
      <c r="G127" s="11">
        <v>270</v>
      </c>
      <c r="H127" s="11"/>
      <c r="I127" s="11">
        <v>315</v>
      </c>
      <c r="J127" s="11">
        <v>11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>
      <c r="A128" s="13"/>
      <c r="B128" s="13" t="e">
        <f>IF((#REF!+#REF!+#REF!)&gt;0,IF($B$107+(360-#REF!)&gt;360,$B$107+(360-#REF!)-360,$B$107+(360-#REF!)),)</f>
        <v>#REF!</v>
      </c>
      <c r="C128" s="11"/>
      <c r="D128" s="11">
        <v>12</v>
      </c>
      <c r="E128" s="11">
        <v>360</v>
      </c>
      <c r="F128" s="11">
        <v>12</v>
      </c>
      <c r="G128" s="11">
        <v>-90</v>
      </c>
      <c r="H128" s="11"/>
      <c r="I128" s="11">
        <v>345</v>
      </c>
      <c r="J128" s="11">
        <v>12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>
      <c r="A129" s="13"/>
      <c r="B129" s="13" t="e">
        <f>IF((#REF!+#REF!+#REF!)&gt;0,IF($B$107+(360-#REF!)&gt;360,$B$107+(360-#REF!)-360,$B$107+(360-#REF!)),)</f>
        <v>#REF!</v>
      </c>
      <c r="C129" s="11"/>
      <c r="D129" s="11">
        <v>0</v>
      </c>
      <c r="E129" s="11" t="s">
        <v>48</v>
      </c>
      <c r="F129" s="11" t="s">
        <v>48</v>
      </c>
      <c r="G129" s="11"/>
      <c r="H129" s="11"/>
      <c r="I129" s="11"/>
      <c r="J129" s="11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>
      <c r="B130" s="13" t="e">
        <f>IF((#REF!+#REF!+#REF!)&gt;0,IF($B$107+(360-#REF!)&gt;360,$B$107+(360-#REF!)-360,$B$107+(360-#REF!)),)</f>
        <v>#REF!</v>
      </c>
    </row>
    <row r="131" ht="12.75">
      <c r="B131" s="13" t="e">
        <f>IF((#REF!+#REF!+#REF!)&gt;0,IF($B$107+(360-#REF!)&gt;360,$B$107+(360-#REF!)-360,$B$107+(360-#REF!)),)</f>
        <v>#REF!</v>
      </c>
    </row>
    <row r="132" ht="12.75">
      <c r="B132" s="13" t="e">
        <f>IF((#REF!+#REF!+#REF!)&gt;0,IF($B$107+(360-#REF!)&gt;360,$B$107+(360-#REF!)-360,$B$107+(360-#REF!)),)</f>
        <v>#REF!</v>
      </c>
    </row>
    <row r="133" ht="12.75">
      <c r="B133" s="13" t="e">
        <f>IF((#REF!+#REF!+#REF!)&gt;0,IF($B$107+(360-#REF!)&gt;360,$B$107+(360-#REF!)-360,$B$107+(360-#REF!)),)</f>
        <v>#REF!</v>
      </c>
    </row>
    <row r="134" ht="12.75">
      <c r="B134" s="13" t="e">
        <f>IF((#REF!+#REF!+#REF!)&gt;0,IF($B$107+(360-#REF!)&gt;360,$B$107+(360-#REF!)-360,$B$107+(360-#REF!)),)</f>
        <v>#REF!</v>
      </c>
    </row>
    <row r="135" ht="12.75">
      <c r="B135" s="13" t="e">
        <f>IF((#REF!+#REF!+#REF!)&gt;0,IF($B$107+(360-#REF!)&gt;360,$B$107+(360-#REF!)-360,$B$107+(360-#REF!)),)</f>
        <v>#REF!</v>
      </c>
    </row>
    <row r="136" ht="12.75">
      <c r="B136" s="13" t="e">
        <f>IF((#REF!+#REF!+#REF!)&gt;0,IF($B$107+(360-#REF!)&gt;360,$B$107+(360-#REF!)-360,$B$107+(360-#REF!)),)</f>
        <v>#REF!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Peyo</dc:creator>
  <cp:keywords/>
  <dc:description>Auteur Pejsa
Modifications Peyo</dc:description>
  <cp:lastModifiedBy>marius guerreiro</cp:lastModifiedBy>
  <cp:lastPrinted>2009-04-14T15:57:12Z</cp:lastPrinted>
  <dcterms:created xsi:type="dcterms:W3CDTF">1998-06-19T02:33:35Z</dcterms:created>
  <dcterms:modified xsi:type="dcterms:W3CDTF">2020-03-16T08:43:50Z</dcterms:modified>
  <cp:category/>
  <cp:version/>
  <cp:contentType/>
  <cp:contentStatus/>
</cp:coreProperties>
</file>